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5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'2024'!$A$1:$X$125</definedName>
  </definedNames>
  <calcPr calcId="162913"/>
</workbook>
</file>

<file path=xl/calcChain.xml><?xml version="1.0" encoding="utf-8"?>
<calcChain xmlns="http://schemas.openxmlformats.org/spreadsheetml/2006/main">
  <c r="R56" i="23" l="1"/>
  <c r="E59" i="23"/>
  <c r="O81" i="23" l="1"/>
  <c r="H81" i="23"/>
  <c r="I81" i="23"/>
  <c r="J81" i="23"/>
  <c r="K81" i="23"/>
  <c r="L81" i="23"/>
  <c r="M81" i="23"/>
  <c r="N81" i="23"/>
  <c r="G81" i="23"/>
  <c r="E81" i="23"/>
  <c r="E7" i="23"/>
  <c r="F56" i="23"/>
  <c r="A57" i="23"/>
  <c r="A58" i="23"/>
  <c r="A59" i="23"/>
  <c r="A60" i="23"/>
  <c r="A56" i="23"/>
  <c r="S56" i="23" l="1"/>
  <c r="T56" i="23"/>
  <c r="W56" i="23"/>
  <c r="U56" i="23"/>
  <c r="P56" i="23"/>
  <c r="Q56" i="23"/>
  <c r="R97" i="23"/>
  <c r="R96" i="23"/>
  <c r="R95" i="23"/>
  <c r="R94" i="23"/>
  <c r="R92" i="23"/>
  <c r="R91" i="23"/>
  <c r="R88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7" i="23"/>
  <c r="M120" i="23"/>
  <c r="M119" i="23"/>
  <c r="M118" i="23"/>
  <c r="M117" i="23"/>
  <c r="M114" i="23" s="1"/>
  <c r="M116" i="23"/>
  <c r="M115" i="23"/>
  <c r="M109" i="23"/>
  <c r="M106" i="23"/>
  <c r="M105" i="23"/>
  <c r="M104" i="23"/>
  <c r="M103" i="23"/>
  <c r="M102" i="23" s="1"/>
  <c r="M93" i="23"/>
  <c r="M87" i="23"/>
  <c r="M98" i="23" s="1"/>
  <c r="M107" i="23" s="1"/>
  <c r="M79" i="23"/>
  <c r="M74" i="23"/>
  <c r="M68" i="23"/>
  <c r="M82" i="23" s="1"/>
  <c r="M80" i="23" s="1"/>
  <c r="M76" i="23" s="1"/>
  <c r="M84" i="23" s="1"/>
  <c r="M85" i="23" s="1"/>
  <c r="M39" i="23"/>
  <c r="M24" i="23"/>
  <c r="M20" i="23"/>
  <c r="M17" i="23"/>
  <c r="M16" i="23"/>
  <c r="M11" i="23"/>
  <c r="M53" i="23" s="1"/>
  <c r="M54" i="23" s="1"/>
  <c r="M9" i="23"/>
  <c r="M5" i="23"/>
  <c r="N5" i="23"/>
  <c r="F7" i="23"/>
  <c r="M122" i="23" l="1"/>
  <c r="M123" i="23" s="1"/>
  <c r="M110" i="23"/>
  <c r="F67" i="23"/>
  <c r="R64" i="23" l="1"/>
  <c r="R65" i="23"/>
  <c r="R66" i="23"/>
  <c r="R67" i="23"/>
  <c r="S67" i="23"/>
  <c r="R60" i="23"/>
  <c r="R61" i="23"/>
  <c r="R62" i="23"/>
  <c r="U62" i="23"/>
  <c r="E74" i="23"/>
  <c r="F60" i="23"/>
  <c r="Q60" i="23" s="1"/>
  <c r="F61" i="23"/>
  <c r="P61" i="23" s="1"/>
  <c r="F62" i="23"/>
  <c r="Q62" i="23" s="1"/>
  <c r="S60" i="23" l="1"/>
  <c r="U60" i="23"/>
  <c r="X60" i="23"/>
  <c r="Q61" i="23"/>
  <c r="U61" i="23"/>
  <c r="X61" i="23"/>
  <c r="P62" i="23"/>
  <c r="X62" i="23"/>
  <c r="S62" i="23"/>
  <c r="S61" i="23"/>
  <c r="P60" i="23"/>
  <c r="T62" i="23"/>
  <c r="T61" i="23"/>
  <c r="T60" i="23"/>
  <c r="W67" i="23" l="1"/>
  <c r="W62" i="23"/>
  <c r="W61" i="23"/>
  <c r="W60" i="23"/>
  <c r="L115" i="23" l="1"/>
  <c r="L106" i="23"/>
  <c r="L120" i="23" s="1"/>
  <c r="L105" i="23"/>
  <c r="L104" i="23"/>
  <c r="L118" i="23" s="1"/>
  <c r="L93" i="23"/>
  <c r="L87" i="23"/>
  <c r="L98" i="23" s="1"/>
  <c r="L79" i="23"/>
  <c r="L116" i="23" s="1"/>
  <c r="L68" i="23"/>
  <c r="L82" i="23" s="1"/>
  <c r="L39" i="23"/>
  <c r="L24" i="23"/>
  <c r="L20" i="23"/>
  <c r="L17" i="23"/>
  <c r="L11" i="23"/>
  <c r="L9" i="23"/>
  <c r="L16" i="23" l="1"/>
  <c r="L103" i="23"/>
  <c r="L102" i="23" s="1"/>
  <c r="L107" i="23" s="1"/>
  <c r="L119" i="23"/>
  <c r="L117" i="23" s="1"/>
  <c r="L114" i="23" s="1"/>
  <c r="L80" i="23"/>
  <c r="L76" i="23" s="1"/>
  <c r="L53" i="23"/>
  <c r="L109" i="23" s="1"/>
  <c r="L110" i="23" s="1"/>
  <c r="V79" i="23"/>
  <c r="L84" i="23" l="1"/>
  <c r="L85" i="23" s="1"/>
  <c r="L122" i="23"/>
  <c r="L123" i="23" s="1"/>
  <c r="L54" i="23"/>
  <c r="A61" i="23"/>
  <c r="A62" i="23" s="1"/>
  <c r="A63" i="23" s="1"/>
  <c r="A64" i="23" s="1"/>
  <c r="A65" i="23" s="1"/>
  <c r="A66" i="23" s="1"/>
  <c r="A67" i="23" s="1"/>
  <c r="A68" i="23" s="1"/>
  <c r="R57" i="23"/>
  <c r="D81" i="23"/>
  <c r="N68" i="23"/>
  <c r="N82" i="23" s="1"/>
  <c r="F57" i="23"/>
  <c r="K115" i="23"/>
  <c r="K106" i="23"/>
  <c r="K120" i="23" s="1"/>
  <c r="K105" i="23"/>
  <c r="K104" i="23"/>
  <c r="K93" i="23"/>
  <c r="K87" i="23"/>
  <c r="K98" i="23" s="1"/>
  <c r="K79" i="23"/>
  <c r="K116" i="23" s="1"/>
  <c r="K68" i="23"/>
  <c r="K82" i="23" s="1"/>
  <c r="K39" i="23"/>
  <c r="K24" i="23"/>
  <c r="K20" i="23"/>
  <c r="K17" i="23"/>
  <c r="K11" i="23"/>
  <c r="K9" i="23"/>
  <c r="K119" i="23" l="1"/>
  <c r="K80" i="23"/>
  <c r="K76" i="23" s="1"/>
  <c r="U57" i="23"/>
  <c r="W57" i="23"/>
  <c r="P57" i="23"/>
  <c r="K103" i="23"/>
  <c r="K102" i="23" s="1"/>
  <c r="Q57" i="23"/>
  <c r="T57" i="23"/>
  <c r="K16" i="23"/>
  <c r="K53" i="23" s="1"/>
  <c r="K118" i="23"/>
  <c r="K117" i="23" s="1"/>
  <c r="K114" i="23" s="1"/>
  <c r="S57" i="23"/>
  <c r="K107" i="23"/>
  <c r="F44" i="23"/>
  <c r="T44" i="23" l="1"/>
  <c r="U44" i="23"/>
  <c r="Q44" i="23"/>
  <c r="K54" i="23"/>
  <c r="K109" i="23"/>
  <c r="K110" i="23" s="1"/>
  <c r="K84" i="23"/>
  <c r="K85" i="23" s="1"/>
  <c r="J115" i="23"/>
  <c r="J106" i="23"/>
  <c r="J105" i="23"/>
  <c r="J104" i="23"/>
  <c r="J93" i="23"/>
  <c r="J87" i="23"/>
  <c r="J98" i="23" s="1"/>
  <c r="J79" i="23"/>
  <c r="J116" i="23" s="1"/>
  <c r="J74" i="23"/>
  <c r="J68" i="23"/>
  <c r="J39" i="23"/>
  <c r="J24" i="23"/>
  <c r="J20" i="23"/>
  <c r="J17" i="23"/>
  <c r="J11" i="23"/>
  <c r="J9" i="23"/>
  <c r="J82" i="23" l="1"/>
  <c r="J80" i="23" s="1"/>
  <c r="J76" i="23" s="1"/>
  <c r="K122" i="23"/>
  <c r="K123" i="23" s="1"/>
  <c r="J16" i="23"/>
  <c r="J53" i="23" s="1"/>
  <c r="J103" i="23"/>
  <c r="J102" i="23" s="1"/>
  <c r="J107" i="23" s="1"/>
  <c r="J118" i="23"/>
  <c r="J119" i="23"/>
  <c r="J120" i="23"/>
  <c r="J84" i="23" l="1"/>
  <c r="J85" i="23" s="1"/>
  <c r="J117" i="23"/>
  <c r="J114" i="23" s="1"/>
  <c r="J54" i="23"/>
  <c r="J109" i="23"/>
  <c r="P44" i="23"/>
  <c r="W44" i="23"/>
  <c r="S44" i="23"/>
  <c r="J122" i="23" l="1"/>
  <c r="J123" i="23" s="1"/>
  <c r="J110" i="23"/>
  <c r="R55" i="23" l="1"/>
  <c r="F65" i="23"/>
  <c r="X65" i="23" s="1"/>
  <c r="F66" i="23"/>
  <c r="R72" i="23"/>
  <c r="F72" i="23"/>
  <c r="W72" i="23" s="1"/>
  <c r="W66" i="23" l="1"/>
  <c r="Q66" i="23"/>
  <c r="U66" i="23"/>
  <c r="T66" i="23"/>
  <c r="S66" i="23"/>
  <c r="U65" i="23"/>
  <c r="Q65" i="23"/>
  <c r="T65" i="23"/>
  <c r="S65" i="23"/>
  <c r="P72" i="23"/>
  <c r="P65" i="23"/>
  <c r="S72" i="23"/>
  <c r="P66" i="23"/>
  <c r="I115" i="23"/>
  <c r="I106" i="23"/>
  <c r="I120" i="23" s="1"/>
  <c r="I105" i="23"/>
  <c r="I104" i="23"/>
  <c r="I103" i="23" s="1"/>
  <c r="I93" i="23"/>
  <c r="I87" i="23"/>
  <c r="I98" i="23" s="1"/>
  <c r="I79" i="23"/>
  <c r="I116" i="23" s="1"/>
  <c r="I68" i="23"/>
  <c r="I82" i="23" s="1"/>
  <c r="I39" i="23"/>
  <c r="I24" i="23"/>
  <c r="I20" i="23"/>
  <c r="I17" i="23"/>
  <c r="I11" i="23"/>
  <c r="I9" i="23"/>
  <c r="I102" i="23" l="1"/>
  <c r="I118" i="23"/>
  <c r="I107" i="23"/>
  <c r="I16" i="23"/>
  <c r="I53" i="23" s="1"/>
  <c r="I80" i="23"/>
  <c r="I76" i="23" s="1"/>
  <c r="I119" i="23"/>
  <c r="R101" i="23"/>
  <c r="R106" i="23" s="1"/>
  <c r="R120" i="23" s="1"/>
  <c r="O106" i="23"/>
  <c r="O120" i="23" s="1"/>
  <c r="E106" i="23"/>
  <c r="E120" i="23" s="1"/>
  <c r="V120" i="23"/>
  <c r="G106" i="23"/>
  <c r="G120" i="23" s="1"/>
  <c r="O105" i="23"/>
  <c r="N106" i="23"/>
  <c r="N120" i="23" s="1"/>
  <c r="H106" i="23"/>
  <c r="D106" i="23"/>
  <c r="D120" i="23" s="1"/>
  <c r="F101" i="23"/>
  <c r="I117" i="23" l="1"/>
  <c r="I114" i="23" s="1"/>
  <c r="I84" i="23"/>
  <c r="I85" i="23" s="1"/>
  <c r="I54" i="23"/>
  <c r="I109" i="23"/>
  <c r="I110" i="23" s="1"/>
  <c r="F106" i="23"/>
  <c r="Q106" i="23" s="1"/>
  <c r="H120" i="23"/>
  <c r="F120" i="23" s="1"/>
  <c r="P120" i="23" s="1"/>
  <c r="T101" i="23"/>
  <c r="U101" i="23"/>
  <c r="P101" i="23"/>
  <c r="W101" i="23"/>
  <c r="Q101" i="23"/>
  <c r="S101" i="23"/>
  <c r="I122" i="23" l="1"/>
  <c r="I123" i="23" s="1"/>
  <c r="S106" i="23"/>
  <c r="T106" i="23"/>
  <c r="U106" i="23"/>
  <c r="P106" i="23"/>
  <c r="W106" i="23"/>
  <c r="S120" i="23"/>
  <c r="W120" i="23"/>
  <c r="Q120" i="23"/>
  <c r="T120" i="23"/>
  <c r="U120" i="23"/>
  <c r="R74" i="23" l="1"/>
  <c r="F74" i="23"/>
  <c r="F75" i="23"/>
  <c r="R75" i="23"/>
  <c r="E49" i="23"/>
  <c r="E68" i="23"/>
  <c r="E82" i="23" s="1"/>
  <c r="F55" i="23"/>
  <c r="X55" i="23" s="1"/>
  <c r="F58" i="23"/>
  <c r="H115" i="23"/>
  <c r="H105" i="23"/>
  <c r="H104" i="23"/>
  <c r="H93" i="23"/>
  <c r="H87" i="23"/>
  <c r="H98" i="23" s="1"/>
  <c r="H79" i="23"/>
  <c r="H116" i="23" s="1"/>
  <c r="H68" i="23"/>
  <c r="H82" i="23" s="1"/>
  <c r="H39" i="23"/>
  <c r="H24" i="23"/>
  <c r="H20" i="23"/>
  <c r="H17" i="23"/>
  <c r="H11" i="23"/>
  <c r="H9" i="23"/>
  <c r="V78" i="23"/>
  <c r="W65" i="23"/>
  <c r="P74" i="23" l="1"/>
  <c r="X74" i="23"/>
  <c r="H16" i="23"/>
  <c r="H53" i="23" s="1"/>
  <c r="S55" i="23"/>
  <c r="H103" i="23"/>
  <c r="H102" i="23" s="1"/>
  <c r="H107" i="23" s="1"/>
  <c r="S75" i="23"/>
  <c r="H80" i="23"/>
  <c r="H76" i="23" s="1"/>
  <c r="W75" i="23"/>
  <c r="U75" i="23"/>
  <c r="Q75" i="23"/>
  <c r="T75" i="23"/>
  <c r="P75" i="23"/>
  <c r="P55" i="23"/>
  <c r="U74" i="23"/>
  <c r="T74" i="23"/>
  <c r="W74" i="23"/>
  <c r="S74" i="23"/>
  <c r="Q74" i="23"/>
  <c r="H118" i="23"/>
  <c r="W55" i="23"/>
  <c r="H119" i="23"/>
  <c r="H84" i="23" l="1"/>
  <c r="H85" i="23" s="1"/>
  <c r="H117" i="23"/>
  <c r="H114" i="23" s="1"/>
  <c r="H109" i="23"/>
  <c r="H54" i="23"/>
  <c r="H122" i="23" l="1"/>
  <c r="H123" i="23" s="1"/>
  <c r="H110" i="23"/>
  <c r="D79" i="23"/>
  <c r="N105" i="23"/>
  <c r="G105" i="23"/>
  <c r="R100" i="23"/>
  <c r="R105" i="23" s="1"/>
  <c r="F90" i="23"/>
  <c r="P90" i="23" s="1"/>
  <c r="A91" i="23"/>
  <c r="N79" i="23"/>
  <c r="N116" i="23" s="1"/>
  <c r="O79" i="23"/>
  <c r="G79" i="23"/>
  <c r="N115" i="23"/>
  <c r="N104" i="23"/>
  <c r="N93" i="23"/>
  <c r="N87" i="23"/>
  <c r="N98" i="23" s="1"/>
  <c r="R59" i="23"/>
  <c r="R79" i="23" s="1"/>
  <c r="N39" i="23"/>
  <c r="N24" i="23"/>
  <c r="N20" i="23"/>
  <c r="N17" i="23"/>
  <c r="N11" i="23"/>
  <c r="N9" i="23"/>
  <c r="N103" i="23" l="1"/>
  <c r="N102" i="23" s="1"/>
  <c r="N107" i="23" s="1"/>
  <c r="S90" i="23"/>
  <c r="W90" i="23"/>
  <c r="N119" i="23"/>
  <c r="N118" i="23"/>
  <c r="N80" i="23"/>
  <c r="N76" i="23" s="1"/>
  <c r="N16" i="23"/>
  <c r="N53" i="23" s="1"/>
  <c r="N109" i="23" l="1"/>
  <c r="N110" i="23" s="1"/>
  <c r="N117" i="23"/>
  <c r="N114" i="23" s="1"/>
  <c r="F113" i="23"/>
  <c r="F112" i="23"/>
  <c r="F111" i="23"/>
  <c r="F105" i="23"/>
  <c r="F100" i="23"/>
  <c r="W100" i="23" s="1"/>
  <c r="F99" i="23"/>
  <c r="X99" i="23" s="1"/>
  <c r="F97" i="23"/>
  <c r="F96" i="23"/>
  <c r="F95" i="23"/>
  <c r="F94" i="23"/>
  <c r="F92" i="23"/>
  <c r="F91" i="23"/>
  <c r="F89" i="23"/>
  <c r="F88" i="23"/>
  <c r="F81" i="23"/>
  <c r="F79" i="23"/>
  <c r="X79" i="23" s="1"/>
  <c r="F78" i="23"/>
  <c r="F73" i="23"/>
  <c r="F71" i="23"/>
  <c r="X71" i="23" s="1"/>
  <c r="F70" i="23"/>
  <c r="X70" i="23" s="1"/>
  <c r="F69" i="23"/>
  <c r="X69" i="23" s="1"/>
  <c r="F64" i="23"/>
  <c r="F63" i="23"/>
  <c r="F59" i="23"/>
  <c r="X59" i="23" s="1"/>
  <c r="F52" i="23"/>
  <c r="F51" i="23"/>
  <c r="Q51" i="23" s="1"/>
  <c r="F50" i="23"/>
  <c r="F49" i="23"/>
  <c r="F48" i="23"/>
  <c r="F47" i="23"/>
  <c r="F46" i="23"/>
  <c r="F45" i="23"/>
  <c r="F43" i="23"/>
  <c r="F42" i="23"/>
  <c r="F41" i="23"/>
  <c r="F40" i="23"/>
  <c r="F38" i="23"/>
  <c r="F37" i="23"/>
  <c r="F36" i="23"/>
  <c r="F35" i="23"/>
  <c r="Q35" i="23" s="1"/>
  <c r="F34" i="23"/>
  <c r="F33" i="23"/>
  <c r="Q33" i="23" s="1"/>
  <c r="F32" i="23"/>
  <c r="Q32" i="23" s="1"/>
  <c r="F31" i="23"/>
  <c r="F30" i="23"/>
  <c r="F29" i="23"/>
  <c r="F28" i="23"/>
  <c r="F27" i="23"/>
  <c r="F26" i="23"/>
  <c r="F25" i="23"/>
  <c r="F23" i="23"/>
  <c r="X23" i="23" s="1"/>
  <c r="F22" i="23"/>
  <c r="F21" i="23"/>
  <c r="F19" i="23"/>
  <c r="F18" i="23"/>
  <c r="F15" i="23"/>
  <c r="Q15" i="23" s="1"/>
  <c r="F14" i="23"/>
  <c r="F13" i="23"/>
  <c r="F12" i="23"/>
  <c r="Q12" i="23" s="1"/>
  <c r="F10" i="23"/>
  <c r="X10" i="23" s="1"/>
  <c r="E105" i="23"/>
  <c r="A100" i="23"/>
  <c r="E79" i="23"/>
  <c r="V9" i="23"/>
  <c r="X48" i="23" l="1"/>
  <c r="Q48" i="23"/>
  <c r="Q64" i="23"/>
  <c r="U64" i="23"/>
  <c r="S64" i="23"/>
  <c r="T64" i="23"/>
  <c r="W78" i="23"/>
  <c r="X78" i="23"/>
  <c r="Q92" i="23"/>
  <c r="U92" i="23"/>
  <c r="Q95" i="23"/>
  <c r="X95" i="23"/>
  <c r="T94" i="23"/>
  <c r="U94" i="23"/>
  <c r="Q94" i="23"/>
  <c r="P64" i="23"/>
  <c r="W59" i="23"/>
  <c r="U59" i="23"/>
  <c r="N84" i="23"/>
  <c r="N85" i="23" s="1"/>
  <c r="N54" i="23"/>
  <c r="X31" i="23"/>
  <c r="Q31" i="23"/>
  <c r="T100" i="23"/>
  <c r="U100" i="23"/>
  <c r="Q100" i="23"/>
  <c r="P100" i="23"/>
  <c r="S100" i="23"/>
  <c r="T105" i="23"/>
  <c r="U105" i="23"/>
  <c r="Q105" i="23"/>
  <c r="N122" i="23"/>
  <c r="N123" i="23" s="1"/>
  <c r="W79" i="23"/>
  <c r="P79" i="23"/>
  <c r="Q79" i="23"/>
  <c r="U79" i="23"/>
  <c r="T79" i="23"/>
  <c r="Q13" i="23"/>
  <c r="X13" i="23"/>
  <c r="Q73" i="23"/>
  <c r="Q59" i="23"/>
  <c r="P59" i="23"/>
  <c r="S59" i="23"/>
  <c r="T59" i="23"/>
  <c r="W23" i="23" l="1"/>
  <c r="V116" i="23"/>
  <c r="R116" i="23"/>
  <c r="O116" i="23"/>
  <c r="G116" i="23"/>
  <c r="F116" i="23" s="1"/>
  <c r="X116" i="23" s="1"/>
  <c r="E116" i="23"/>
  <c r="D116" i="23"/>
  <c r="V115" i="23"/>
  <c r="R115" i="23"/>
  <c r="O115" i="23"/>
  <c r="G115" i="23"/>
  <c r="E115" i="23"/>
  <c r="D115" i="23"/>
  <c r="W105" i="23"/>
  <c r="V104" i="23"/>
  <c r="V103" i="23" s="1"/>
  <c r="V102" i="23" s="1"/>
  <c r="O104" i="23"/>
  <c r="O103" i="23" s="1"/>
  <c r="O102" i="23" s="1"/>
  <c r="G104" i="23"/>
  <c r="E104" i="23"/>
  <c r="E103" i="23" s="1"/>
  <c r="E102" i="23" s="1"/>
  <c r="D104" i="23"/>
  <c r="R99" i="23"/>
  <c r="R104" i="23" s="1"/>
  <c r="R103" i="23" s="1"/>
  <c r="R102" i="23" s="1"/>
  <c r="U99" i="23"/>
  <c r="X97" i="23"/>
  <c r="P95" i="23"/>
  <c r="P94" i="23"/>
  <c r="V93" i="23"/>
  <c r="O93" i="23"/>
  <c r="G93" i="23"/>
  <c r="F93" i="23" s="1"/>
  <c r="E93" i="23"/>
  <c r="D93" i="23"/>
  <c r="W92" i="23"/>
  <c r="A92" i="23"/>
  <c r="A93" i="23" s="1"/>
  <c r="P91" i="23"/>
  <c r="W89" i="23"/>
  <c r="R87" i="23"/>
  <c r="R98" i="23" s="1"/>
  <c r="U88" i="23"/>
  <c r="V87" i="23"/>
  <c r="V98" i="23" s="1"/>
  <c r="O87" i="23"/>
  <c r="O98" i="23" s="1"/>
  <c r="G87" i="23"/>
  <c r="G98" i="23" s="1"/>
  <c r="E87" i="23"/>
  <c r="E98" i="23" s="1"/>
  <c r="R137" i="23" s="1"/>
  <c r="D87" i="23"/>
  <c r="V81" i="23"/>
  <c r="S79" i="23"/>
  <c r="S78" i="23"/>
  <c r="R73" i="23"/>
  <c r="T73" i="23" s="1"/>
  <c r="U73" i="23"/>
  <c r="R71" i="23"/>
  <c r="R70" i="23"/>
  <c r="U70" i="23"/>
  <c r="R69" i="23"/>
  <c r="W69" i="23"/>
  <c r="V68" i="23"/>
  <c r="V82" i="23" s="1"/>
  <c r="O68" i="23"/>
  <c r="O82" i="23" s="1"/>
  <c r="G68" i="23"/>
  <c r="G82" i="23" s="1"/>
  <c r="D68" i="23"/>
  <c r="D82" i="23" s="1"/>
  <c r="D119" i="23" s="1"/>
  <c r="R63" i="23"/>
  <c r="U63" i="23"/>
  <c r="R58" i="23"/>
  <c r="R81" i="23" s="1"/>
  <c r="U58" i="23"/>
  <c r="AC53" i="23"/>
  <c r="U52" i="23"/>
  <c r="W51" i="23"/>
  <c r="U50" i="23"/>
  <c r="W48" i="23"/>
  <c r="U46" i="23"/>
  <c r="A46" i="23"/>
  <c r="A47" i="23" s="1"/>
  <c r="A48" i="23" s="1"/>
  <c r="A49" i="23" s="1"/>
  <c r="A50" i="23" s="1"/>
  <c r="A51" i="23" s="1"/>
  <c r="A52" i="23" s="1"/>
  <c r="W45" i="23"/>
  <c r="W42" i="23"/>
  <c r="Q41" i="23"/>
  <c r="V39" i="23"/>
  <c r="O39" i="23"/>
  <c r="G39" i="23"/>
  <c r="F39" i="23" s="1"/>
  <c r="E39" i="23"/>
  <c r="D39" i="23"/>
  <c r="U38" i="23"/>
  <c r="X35" i="23"/>
  <c r="U34" i="23"/>
  <c r="W33" i="23"/>
  <c r="W32" i="23"/>
  <c r="P31" i="23"/>
  <c r="A31" i="23"/>
  <c r="A32" i="23" s="1"/>
  <c r="A33" i="23" s="1"/>
  <c r="A34" i="23" s="1"/>
  <c r="A35" i="23" s="1"/>
  <c r="A36" i="23" s="1"/>
  <c r="A37" i="23" s="1"/>
  <c r="A38" i="23" s="1"/>
  <c r="A39" i="23" s="1"/>
  <c r="U29" i="23"/>
  <c r="U28" i="23"/>
  <c r="E27" i="23"/>
  <c r="D27" i="23"/>
  <c r="W26" i="23"/>
  <c r="E26" i="23"/>
  <c r="D26" i="23"/>
  <c r="W25" i="23"/>
  <c r="E25" i="23"/>
  <c r="D25" i="23"/>
  <c r="Y24" i="23"/>
  <c r="V24" i="23"/>
  <c r="O24" i="23"/>
  <c r="G24" i="23"/>
  <c r="F24" i="23" s="1"/>
  <c r="W21" i="23"/>
  <c r="V20" i="23"/>
  <c r="O20" i="23"/>
  <c r="G20" i="23"/>
  <c r="F20" i="23" s="1"/>
  <c r="E20" i="23"/>
  <c r="D20" i="23"/>
  <c r="U19" i="23"/>
  <c r="Y18" i="23"/>
  <c r="Q18" i="23"/>
  <c r="V17" i="23"/>
  <c r="O17" i="23"/>
  <c r="G17" i="23"/>
  <c r="F17" i="23" s="1"/>
  <c r="E17" i="23"/>
  <c r="D17" i="23"/>
  <c r="U13" i="23"/>
  <c r="P12" i="23"/>
  <c r="V11" i="23"/>
  <c r="O11" i="23"/>
  <c r="G11" i="23"/>
  <c r="E11" i="23"/>
  <c r="D11" i="23"/>
  <c r="AA10" i="23"/>
  <c r="AB10" i="23" s="1"/>
  <c r="A10" i="23"/>
  <c r="O9" i="23"/>
  <c r="G9" i="23"/>
  <c r="F9" i="23" s="1"/>
  <c r="E9" i="23"/>
  <c r="R9" i="23" s="1"/>
  <c r="D9" i="23"/>
  <c r="X8" i="23"/>
  <c r="W8" i="23"/>
  <c r="AB7" i="23"/>
  <c r="AA7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P5" i="23" l="1"/>
  <c r="Q5" i="23" s="1"/>
  <c r="R5" i="23" s="1"/>
  <c r="S5" i="23" s="1"/>
  <c r="T5" i="23" s="1"/>
  <c r="R139" i="23"/>
  <c r="D103" i="23"/>
  <c r="D102" i="23" s="1"/>
  <c r="D118" i="23"/>
  <c r="F11" i="23"/>
  <c r="X11" i="23" s="1"/>
  <c r="D98" i="23"/>
  <c r="F115" i="23"/>
  <c r="P115" i="23" s="1"/>
  <c r="R107" i="23"/>
  <c r="O107" i="23"/>
  <c r="U116" i="23"/>
  <c r="T116" i="23"/>
  <c r="Q116" i="23"/>
  <c r="E107" i="23"/>
  <c r="G103" i="23"/>
  <c r="G102" i="23" s="1"/>
  <c r="G107" i="23" s="1"/>
  <c r="F107" i="23" s="1"/>
  <c r="F104" i="23"/>
  <c r="G119" i="23"/>
  <c r="F119" i="23" s="1"/>
  <c r="F68" i="23"/>
  <c r="W68" i="23" s="1"/>
  <c r="E118" i="23"/>
  <c r="F87" i="23"/>
  <c r="S87" i="23" s="1"/>
  <c r="V119" i="23"/>
  <c r="O80" i="23"/>
  <c r="O76" i="23" s="1"/>
  <c r="P23" i="23"/>
  <c r="E119" i="23"/>
  <c r="U37" i="23"/>
  <c r="X37" i="23"/>
  <c r="S23" i="23"/>
  <c r="S36" i="23"/>
  <c r="S47" i="23"/>
  <c r="S48" i="23"/>
  <c r="U48" i="23"/>
  <c r="T50" i="23"/>
  <c r="W52" i="23"/>
  <c r="D117" i="23"/>
  <c r="D114" i="23" s="1"/>
  <c r="W50" i="23"/>
  <c r="P20" i="23"/>
  <c r="T40" i="23"/>
  <c r="S43" i="23"/>
  <c r="T96" i="23"/>
  <c r="T14" i="23"/>
  <c r="T25" i="23"/>
  <c r="T27" i="23"/>
  <c r="Q50" i="23"/>
  <c r="S52" i="23"/>
  <c r="S49" i="23"/>
  <c r="R118" i="23"/>
  <c r="O16" i="23"/>
  <c r="O53" i="23" s="1"/>
  <c r="W34" i="23"/>
  <c r="S35" i="23"/>
  <c r="W31" i="23"/>
  <c r="P34" i="23"/>
  <c r="U35" i="23"/>
  <c r="W41" i="23"/>
  <c r="Q58" i="23"/>
  <c r="S70" i="23"/>
  <c r="W91" i="23"/>
  <c r="U31" i="23"/>
  <c r="U41" i="23"/>
  <c r="T7" i="23"/>
  <c r="V16" i="23"/>
  <c r="V53" i="23" s="1"/>
  <c r="Q34" i="23"/>
  <c r="T70" i="23"/>
  <c r="S91" i="23"/>
  <c r="T13" i="23"/>
  <c r="T34" i="23"/>
  <c r="X58" i="23"/>
  <c r="S92" i="23"/>
  <c r="T10" i="23"/>
  <c r="S15" i="23"/>
  <c r="D16" i="23"/>
  <c r="Z24" i="23"/>
  <c r="X25" i="23"/>
  <c r="U32" i="23"/>
  <c r="P48" i="23"/>
  <c r="P50" i="23"/>
  <c r="W95" i="23"/>
  <c r="S105" i="23"/>
  <c r="Q19" i="23"/>
  <c r="S22" i="23"/>
  <c r="U27" i="23"/>
  <c r="P33" i="23"/>
  <c r="Q45" i="23"/>
  <c r="T19" i="23"/>
  <c r="AA27" i="23"/>
  <c r="T33" i="23"/>
  <c r="T45" i="23"/>
  <c r="U96" i="23"/>
  <c r="W99" i="23"/>
  <c r="U18" i="23"/>
  <c r="W19" i="23"/>
  <c r="Q26" i="23"/>
  <c r="U33" i="23"/>
  <c r="X45" i="23"/>
  <c r="U14" i="23"/>
  <c r="G16" i="23"/>
  <c r="G53" i="23" s="1"/>
  <c r="W18" i="23"/>
  <c r="X19" i="23"/>
  <c r="W20" i="23"/>
  <c r="X26" i="23"/>
  <c r="T32" i="23"/>
  <c r="X34" i="23"/>
  <c r="Y34" i="23" s="1"/>
  <c r="G118" i="23"/>
  <c r="F118" i="23" s="1"/>
  <c r="T95" i="23"/>
  <c r="P105" i="23"/>
  <c r="T39" i="23"/>
  <c r="Q39" i="23"/>
  <c r="X39" i="23"/>
  <c r="Q29" i="23"/>
  <c r="Q21" i="23"/>
  <c r="U25" i="23"/>
  <c r="S28" i="23"/>
  <c r="S50" i="23"/>
  <c r="T58" i="23"/>
  <c r="W63" i="23"/>
  <c r="R93" i="23"/>
  <c r="T93" i="23" s="1"/>
  <c r="W12" i="23"/>
  <c r="W15" i="23"/>
  <c r="Q20" i="23"/>
  <c r="T21" i="23"/>
  <c r="P25" i="23"/>
  <c r="E24" i="23"/>
  <c r="T28" i="23"/>
  <c r="S29" i="23"/>
  <c r="U43" i="23"/>
  <c r="S13" i="23"/>
  <c r="X15" i="23"/>
  <c r="P19" i="23"/>
  <c r="U20" i="23"/>
  <c r="X21" i="23"/>
  <c r="Q25" i="23"/>
  <c r="W29" i="23"/>
  <c r="S31" i="23"/>
  <c r="P32" i="23"/>
  <c r="S33" i="23"/>
  <c r="T36" i="23"/>
  <c r="W37" i="23"/>
  <c r="X42" i="23"/>
  <c r="S46" i="23"/>
  <c r="X50" i="23"/>
  <c r="R68" i="23"/>
  <c r="P81" i="23"/>
  <c r="W93" i="23"/>
  <c r="V107" i="23"/>
  <c r="Q99" i="23"/>
  <c r="S116" i="23"/>
  <c r="X20" i="23"/>
  <c r="P29" i="23"/>
  <c r="AA29" i="23"/>
  <c r="S32" i="23"/>
  <c r="T35" i="23"/>
  <c r="P37" i="23"/>
  <c r="Q43" i="23"/>
  <c r="S51" i="23"/>
  <c r="T99" i="23"/>
  <c r="U22" i="23"/>
  <c r="Q37" i="23"/>
  <c r="W38" i="23"/>
  <c r="U40" i="23"/>
  <c r="T51" i="23"/>
  <c r="S58" i="23"/>
  <c r="E80" i="23"/>
  <c r="E76" i="23" s="1"/>
  <c r="E16" i="23"/>
  <c r="X29" i="23"/>
  <c r="P15" i="23"/>
  <c r="Q42" i="23"/>
  <c r="S45" i="23"/>
  <c r="U9" i="23"/>
  <c r="S12" i="23"/>
  <c r="T29" i="23"/>
  <c r="T37" i="23"/>
  <c r="T43" i="23"/>
  <c r="U51" i="23"/>
  <c r="U10" i="23"/>
  <c r="X32" i="23"/>
  <c r="S37" i="23"/>
  <c r="P41" i="23"/>
  <c r="T42" i="23"/>
  <c r="T47" i="23"/>
  <c r="Q70" i="23"/>
  <c r="S89" i="23"/>
  <c r="P99" i="23"/>
  <c r="S9" i="23"/>
  <c r="W10" i="23"/>
  <c r="W22" i="23"/>
  <c r="X30" i="23"/>
  <c r="Y30" i="23" s="1"/>
  <c r="Q30" i="23"/>
  <c r="W30" i="23"/>
  <c r="P30" i="23"/>
  <c r="W40" i="23"/>
  <c r="S42" i="23"/>
  <c r="W46" i="23"/>
  <c r="X49" i="23"/>
  <c r="P9" i="23"/>
  <c r="Q10" i="23"/>
  <c r="X14" i="23"/>
  <c r="Q14" i="23"/>
  <c r="W14" i="23"/>
  <c r="P14" i="23"/>
  <c r="W36" i="23"/>
  <c r="S38" i="23"/>
  <c r="W47" i="23"/>
  <c r="X63" i="23"/>
  <c r="Q63" i="23"/>
  <c r="T63" i="23"/>
  <c r="S63" i="23"/>
  <c r="U69" i="23"/>
  <c r="O118" i="23"/>
  <c r="P7" i="23"/>
  <c r="W7" i="23"/>
  <c r="Q9" i="23"/>
  <c r="W9" i="23"/>
  <c r="P13" i="23"/>
  <c r="T18" i="23"/>
  <c r="Z18" i="23"/>
  <c r="S18" i="23"/>
  <c r="X18" i="23"/>
  <c r="S19" i="23"/>
  <c r="S21" i="23"/>
  <c r="X28" i="23"/>
  <c r="Q28" i="23"/>
  <c r="W28" i="23"/>
  <c r="T30" i="23"/>
  <c r="S34" i="23"/>
  <c r="P36" i="23"/>
  <c r="X36" i="23"/>
  <c r="T38" i="23"/>
  <c r="S40" i="23"/>
  <c r="W43" i="23"/>
  <c r="P47" i="23"/>
  <c r="X47" i="23"/>
  <c r="T49" i="23"/>
  <c r="P63" i="23"/>
  <c r="S71" i="23"/>
  <c r="W71" i="23"/>
  <c r="P71" i="23"/>
  <c r="T71" i="23"/>
  <c r="U71" i="23"/>
  <c r="X46" i="23"/>
  <c r="Y46" i="23" s="1"/>
  <c r="Q46" i="23"/>
  <c r="W73" i="23"/>
  <c r="S73" i="23"/>
  <c r="U7" i="23"/>
  <c r="U12" i="23"/>
  <c r="T12" i="23"/>
  <c r="T20" i="23"/>
  <c r="Q22" i="23"/>
  <c r="W24" i="23"/>
  <c r="Q24" i="23"/>
  <c r="P24" i="23"/>
  <c r="X27" i="23"/>
  <c r="Y27" i="23" s="1"/>
  <c r="Q27" i="23"/>
  <c r="W27" i="23"/>
  <c r="P27" i="23"/>
  <c r="S30" i="23"/>
  <c r="P39" i="23"/>
  <c r="U39" i="23"/>
  <c r="T48" i="23"/>
  <c r="Q7" i="23"/>
  <c r="X7" i="23"/>
  <c r="X9" i="23"/>
  <c r="S10" i="23"/>
  <c r="S14" i="23"/>
  <c r="P18" i="23"/>
  <c r="T22" i="23"/>
  <c r="X24" i="23"/>
  <c r="S27" i="23"/>
  <c r="P28" i="23"/>
  <c r="U30" i="23"/>
  <c r="T31" i="23"/>
  <c r="X33" i="23"/>
  <c r="Q36" i="23"/>
  <c r="W39" i="23"/>
  <c r="P43" i="23"/>
  <c r="X43" i="23"/>
  <c r="T46" i="23"/>
  <c r="Q47" i="23"/>
  <c r="U49" i="23"/>
  <c r="Q71" i="23"/>
  <c r="D80" i="23"/>
  <c r="D76" i="23" s="1"/>
  <c r="V118" i="23"/>
  <c r="V80" i="23"/>
  <c r="V76" i="23" s="1"/>
  <c r="W88" i="23"/>
  <c r="P88" i="23"/>
  <c r="S88" i="23"/>
  <c r="X88" i="23"/>
  <c r="Q88" i="23"/>
  <c r="T88" i="23"/>
  <c r="P112" i="23"/>
  <c r="X112" i="23"/>
  <c r="S112" i="23"/>
  <c r="W112" i="23"/>
  <c r="X38" i="23"/>
  <c r="Q38" i="23"/>
  <c r="W49" i="23"/>
  <c r="Q69" i="23"/>
  <c r="T69" i="23"/>
  <c r="P69" i="23"/>
  <c r="U93" i="23"/>
  <c r="X93" i="23"/>
  <c r="P93" i="23"/>
  <c r="X94" i="23"/>
  <c r="S94" i="23"/>
  <c r="W94" i="23"/>
  <c r="S97" i="23"/>
  <c r="W97" i="23"/>
  <c r="P97" i="23"/>
  <c r="T97" i="23"/>
  <c r="U97" i="23"/>
  <c r="T9" i="23"/>
  <c r="P38" i="23"/>
  <c r="P49" i="23"/>
  <c r="S81" i="23"/>
  <c r="Q97" i="23"/>
  <c r="P116" i="23"/>
  <c r="W116" i="23"/>
  <c r="S7" i="23"/>
  <c r="X40" i="23"/>
  <c r="Y40" i="23" s="1"/>
  <c r="Q40" i="23"/>
  <c r="P10" i="23"/>
  <c r="X12" i="23"/>
  <c r="W13" i="23"/>
  <c r="U15" i="23"/>
  <c r="T15" i="23"/>
  <c r="P22" i="23"/>
  <c r="X22" i="23"/>
  <c r="D24" i="23"/>
  <c r="S25" i="23"/>
  <c r="U36" i="23"/>
  <c r="S39" i="23"/>
  <c r="P40" i="23"/>
  <c r="T41" i="23"/>
  <c r="S41" i="23"/>
  <c r="X41" i="23"/>
  <c r="Y41" i="23" s="1"/>
  <c r="P46" i="23"/>
  <c r="U47" i="23"/>
  <c r="Q49" i="23"/>
  <c r="W64" i="23"/>
  <c r="X64" i="23"/>
  <c r="S69" i="23"/>
  <c r="P73" i="23"/>
  <c r="X89" i="23"/>
  <c r="P89" i="23"/>
  <c r="Q93" i="23"/>
  <c r="S20" i="23"/>
  <c r="U21" i="23"/>
  <c r="U26" i="23"/>
  <c r="W35" i="23"/>
  <c r="U42" i="23"/>
  <c r="U45" i="23"/>
  <c r="P52" i="23"/>
  <c r="T52" i="23"/>
  <c r="T91" i="23"/>
  <c r="X92" i="23"/>
  <c r="P92" i="23"/>
  <c r="T92" i="23"/>
  <c r="W96" i="23"/>
  <c r="P96" i="23"/>
  <c r="S96" i="23"/>
  <c r="X96" i="23"/>
  <c r="Q96" i="23"/>
  <c r="P21" i="23"/>
  <c r="P26" i="23"/>
  <c r="P35" i="23"/>
  <c r="P42" i="23"/>
  <c r="P45" i="23"/>
  <c r="U95" i="23"/>
  <c r="S95" i="23"/>
  <c r="P51" i="23"/>
  <c r="P58" i="23"/>
  <c r="W58" i="23"/>
  <c r="P70" i="23"/>
  <c r="W70" i="23"/>
  <c r="U91" i="23"/>
  <c r="S99" i="23"/>
  <c r="Q91" i="23"/>
  <c r="X91" i="23"/>
  <c r="D107" i="23" l="1"/>
  <c r="E53" i="23"/>
  <c r="R135" i="23" s="1"/>
  <c r="R53" i="23"/>
  <c r="P11" i="23"/>
  <c r="T11" i="23"/>
  <c r="U11" i="23"/>
  <c r="Q11" i="23"/>
  <c r="W11" i="23"/>
  <c r="T104" i="23"/>
  <c r="X104" i="23"/>
  <c r="D53" i="23"/>
  <c r="D54" i="23" s="1"/>
  <c r="S115" i="23"/>
  <c r="W115" i="23"/>
  <c r="R82" i="23"/>
  <c r="R80" i="23" s="1"/>
  <c r="R76" i="23" s="1"/>
  <c r="O84" i="23"/>
  <c r="F98" i="23"/>
  <c r="W98" i="23" s="1"/>
  <c r="U104" i="23"/>
  <c r="X87" i="23"/>
  <c r="U87" i="23"/>
  <c r="Q87" i="23"/>
  <c r="V117" i="23"/>
  <c r="V114" i="23" s="1"/>
  <c r="X68" i="23"/>
  <c r="S24" i="23"/>
  <c r="G80" i="23"/>
  <c r="F80" i="23" s="1"/>
  <c r="F82" i="23"/>
  <c r="Q82" i="23" s="1"/>
  <c r="E117" i="23"/>
  <c r="E114" i="23" s="1"/>
  <c r="F102" i="23"/>
  <c r="F103" i="23"/>
  <c r="V5" i="23"/>
  <c r="W5" i="23" s="1"/>
  <c r="X5" i="23" s="1"/>
  <c r="T87" i="23"/>
  <c r="F16" i="23"/>
  <c r="W16" i="23" s="1"/>
  <c r="O119" i="23"/>
  <c r="O117" i="23" s="1"/>
  <c r="O114" i="23" s="1"/>
  <c r="S93" i="23"/>
  <c r="U68" i="23"/>
  <c r="Q68" i="23"/>
  <c r="AA51" i="23"/>
  <c r="V54" i="23"/>
  <c r="V110" i="23" s="1"/>
  <c r="P68" i="23"/>
  <c r="W87" i="23"/>
  <c r="P87" i="23"/>
  <c r="S11" i="23"/>
  <c r="Z53" i="23"/>
  <c r="U24" i="23"/>
  <c r="S104" i="23"/>
  <c r="P104" i="23"/>
  <c r="Q104" i="23"/>
  <c r="T24" i="23"/>
  <c r="W104" i="23"/>
  <c r="T68" i="23"/>
  <c r="S68" i="23"/>
  <c r="T81" i="23"/>
  <c r="O109" i="23"/>
  <c r="O110" i="23" s="1"/>
  <c r="Q81" i="23"/>
  <c r="V109" i="23"/>
  <c r="W81" i="23"/>
  <c r="U81" i="23"/>
  <c r="X81" i="23"/>
  <c r="O54" i="23"/>
  <c r="S118" i="23"/>
  <c r="P118" i="23"/>
  <c r="T118" i="23"/>
  <c r="U118" i="23"/>
  <c r="X118" i="23"/>
  <c r="W118" i="23"/>
  <c r="Q118" i="23"/>
  <c r="W119" i="23"/>
  <c r="X119" i="23"/>
  <c r="U119" i="23"/>
  <c r="T26" i="23"/>
  <c r="S26" i="23"/>
  <c r="V84" i="23"/>
  <c r="G117" i="23"/>
  <c r="G114" i="23" s="1"/>
  <c r="F114" i="23" s="1"/>
  <c r="X17" i="23"/>
  <c r="W17" i="23"/>
  <c r="Q17" i="23"/>
  <c r="U17" i="23"/>
  <c r="P17" i="23"/>
  <c r="S17" i="23"/>
  <c r="T17" i="23"/>
  <c r="R138" i="23"/>
  <c r="O85" i="23" l="1"/>
  <c r="R119" i="23"/>
  <c r="R117" i="23" s="1"/>
  <c r="R114" i="23" s="1"/>
  <c r="D109" i="23"/>
  <c r="W103" i="23"/>
  <c r="X103" i="23"/>
  <c r="D84" i="23"/>
  <c r="D85" i="23" s="1"/>
  <c r="W102" i="23"/>
  <c r="X102" i="23"/>
  <c r="F117" i="23"/>
  <c r="X98" i="23"/>
  <c r="Q98" i="23"/>
  <c r="T98" i="23"/>
  <c r="S98" i="23"/>
  <c r="Q107" i="23"/>
  <c r="G76" i="23"/>
  <c r="F76" i="23" s="1"/>
  <c r="P98" i="23"/>
  <c r="T103" i="23"/>
  <c r="U98" i="23"/>
  <c r="S103" i="23"/>
  <c r="V122" i="23"/>
  <c r="Z122" i="23" s="1"/>
  <c r="P103" i="23"/>
  <c r="U103" i="23"/>
  <c r="S102" i="23"/>
  <c r="Q103" i="23"/>
  <c r="S82" i="23"/>
  <c r="P82" i="23"/>
  <c r="T82" i="23"/>
  <c r="S16" i="23"/>
  <c r="Q119" i="23"/>
  <c r="P102" i="23"/>
  <c r="U102" i="23"/>
  <c r="U82" i="23"/>
  <c r="X82" i="23"/>
  <c r="W82" i="23"/>
  <c r="T102" i="23"/>
  <c r="Q102" i="23"/>
  <c r="X16" i="23"/>
  <c r="T16" i="23"/>
  <c r="E84" i="23"/>
  <c r="E85" i="23" s="1"/>
  <c r="Q16" i="23"/>
  <c r="U16" i="23"/>
  <c r="P16" i="23"/>
  <c r="F53" i="23"/>
  <c r="U53" i="23" s="1"/>
  <c r="P119" i="23"/>
  <c r="D122" i="23"/>
  <c r="D123" i="23" s="1"/>
  <c r="D110" i="23"/>
  <c r="O122" i="23"/>
  <c r="O123" i="23" s="1"/>
  <c r="O132" i="23" s="1"/>
  <c r="V85" i="23"/>
  <c r="V123" i="23" s="1"/>
  <c r="G109" i="23"/>
  <c r="F109" i="23" s="1"/>
  <c r="Z107" i="23"/>
  <c r="G54" i="23"/>
  <c r="R109" i="23"/>
  <c r="R84" i="23"/>
  <c r="R85" i="23" s="1"/>
  <c r="R54" i="23"/>
  <c r="R140" i="23"/>
  <c r="R136" i="23"/>
  <c r="E109" i="23"/>
  <c r="E54" i="23"/>
  <c r="S80" i="23"/>
  <c r="P80" i="23"/>
  <c r="T80" i="23"/>
  <c r="Q80" i="23"/>
  <c r="U80" i="23"/>
  <c r="W80" i="23"/>
  <c r="X80" i="23"/>
  <c r="Z84" i="23"/>
  <c r="S119" i="23" l="1"/>
  <c r="T119" i="23"/>
  <c r="P53" i="23"/>
  <c r="G84" i="23"/>
  <c r="F84" i="23" s="1"/>
  <c r="D132" i="23"/>
  <c r="U107" i="23"/>
  <c r="P107" i="23"/>
  <c r="S107" i="23"/>
  <c r="W107" i="23"/>
  <c r="X107" i="23"/>
  <c r="T107" i="23"/>
  <c r="S53" i="23"/>
  <c r="X53" i="23"/>
  <c r="Z51" i="23"/>
  <c r="AB51" i="23" s="1"/>
  <c r="T53" i="23"/>
  <c r="Q53" i="23"/>
  <c r="F54" i="23"/>
  <c r="Q54" i="23" s="1"/>
  <c r="W53" i="23"/>
  <c r="E122" i="23"/>
  <c r="E132" i="23" s="1"/>
  <c r="E110" i="23"/>
  <c r="G110" i="23"/>
  <c r="F110" i="23" s="1"/>
  <c r="T109" i="23"/>
  <c r="R110" i="23"/>
  <c r="R122" i="23"/>
  <c r="R123" i="23" s="1"/>
  <c r="U109" i="23"/>
  <c r="G122" i="23"/>
  <c r="F122" i="23" s="1"/>
  <c r="S76" i="23"/>
  <c r="P76" i="23"/>
  <c r="T76" i="23"/>
  <c r="X76" i="23"/>
  <c r="W76" i="23"/>
  <c r="U76" i="23"/>
  <c r="Q76" i="23"/>
  <c r="U117" i="23"/>
  <c r="X117" i="23"/>
  <c r="P117" i="23"/>
  <c r="W117" i="23"/>
  <c r="Q117" i="23"/>
  <c r="T117" i="23"/>
  <c r="S117" i="23"/>
  <c r="G85" i="23" l="1"/>
  <c r="F85" i="23" s="1"/>
  <c r="S85" i="23" s="1"/>
  <c r="E134" i="23"/>
  <c r="X54" i="23"/>
  <c r="E123" i="23"/>
  <c r="W54" i="23"/>
  <c r="T54" i="23"/>
  <c r="P54" i="23"/>
  <c r="U54" i="23"/>
  <c r="S54" i="23"/>
  <c r="P109" i="23"/>
  <c r="W109" i="23"/>
  <c r="Q109" i="23"/>
  <c r="X109" i="23"/>
  <c r="U110" i="23"/>
  <c r="Q110" i="23"/>
  <c r="P110" i="23"/>
  <c r="X110" i="23"/>
  <c r="W110" i="23"/>
  <c r="S109" i="23"/>
  <c r="S110" i="23"/>
  <c r="T110" i="23"/>
  <c r="W122" i="23"/>
  <c r="G123" i="23"/>
  <c r="F123" i="23" s="1"/>
  <c r="S84" i="23"/>
  <c r="P84" i="23"/>
  <c r="T84" i="23"/>
  <c r="Q84" i="23"/>
  <c r="U84" i="23"/>
  <c r="X84" i="23"/>
  <c r="W84" i="23"/>
  <c r="S114" i="23"/>
  <c r="P114" i="23"/>
  <c r="T114" i="23"/>
  <c r="U114" i="23"/>
  <c r="X114" i="23"/>
  <c r="Q114" i="23"/>
  <c r="W114" i="23"/>
  <c r="P85" i="23" l="1"/>
  <c r="T85" i="23"/>
  <c r="X85" i="23"/>
  <c r="U85" i="23"/>
  <c r="Q85" i="23"/>
  <c r="W85" i="23"/>
  <c r="F134" i="23"/>
  <c r="X122" i="23"/>
  <c r="F132" i="23"/>
  <c r="S122" i="23"/>
  <c r="U122" i="23"/>
  <c r="Q122" i="23"/>
  <c r="T122" i="23"/>
  <c r="P122" i="23"/>
  <c r="S123" i="23"/>
  <c r="X123" i="23"/>
  <c r="T123" i="23"/>
  <c r="W123" i="23"/>
  <c r="Q123" i="23"/>
  <c r="P123" i="23"/>
  <c r="U123" i="23"/>
</calcChain>
</file>

<file path=xl/sharedStrings.xml><?xml version="1.0" encoding="utf-8"?>
<sst xmlns="http://schemas.openxmlformats.org/spreadsheetml/2006/main" count="242" uniqueCount="229">
  <si>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</si>
  <si>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</si>
  <si>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</si>
  <si>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</si>
  <si>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</si>
  <si>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</si>
  <si>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</si>
  <si>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</si>
  <si>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</si>
  <si>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</si>
  <si>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</si>
  <si>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</si>
  <si>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</si>
  <si>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</si>
  <si>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</si>
  <si>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</si>
  <si>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</si>
  <si>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</si>
  <si>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</si>
  <si>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</si>
  <si>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</si>
  <si>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</si>
  <si>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</si>
  <si>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</si>
  <si>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</si>
  <si>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</si>
  <si>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</si>
  <si>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</si>
  <si>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</si>
  <si>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</si>
  <si>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</si>
  <si>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</si>
  <si>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</si>
  <si>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</si>
  <si>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</si>
  <si>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</si>
  <si>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</si>
  <si>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</si>
  <si>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</si>
  <si>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</si>
  <si>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</si>
  <si>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</si>
  <si>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</si>
  <si>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</si>
  <si>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</si>
  <si>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</si>
  <si>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</si>
  <si>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</si>
  <si>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</si>
  <si>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</si>
  <si>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</si>
  <si>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</si>
  <si>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</si>
  <si>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</si>
  <si>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</si>
  <si>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</si>
  <si>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</si>
  <si>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</si>
  <si>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</si>
  <si>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</si>
  <si>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</si>
  <si>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</si>
  <si>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</si>
  <si>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</si>
  <si>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</si>
  <si>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</si>
  <si>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</si>
  <si>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</si>
  <si>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</si>
  <si>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</si>
  <si>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</si>
  <si>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</si>
  <si>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</si>
  <si>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</si>
  <si>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</si>
  <si>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</si>
  <si>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</si>
  <si>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</si>
  <si>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</si>
  <si>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</si>
  <si>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</si>
  <si>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</si>
  <si>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</si>
  <si>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</si>
  <si>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</si>
  <si>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</si>
  <si>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</si>
  <si>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</si>
  <si>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</si>
  <si>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</si>
  <si>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</si>
  <si>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</si>
  <si>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</si>
  <si>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</si>
  <si>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</si>
  <si>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</si>
  <si>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</si>
  <si>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</si>
  <si>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</si>
  <si>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</si>
  <si>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</si>
  <si>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</si>
  <si>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</si>
  <si>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</si>
  <si>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</si>
  <si>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</si>
  <si>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</si>
  <si>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</si>
  <si>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</si>
  <si>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</si>
  <si>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</si>
  <si>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</si>
  <si>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</si>
  <si>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</si>
  <si>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</si>
  <si>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</si>
  <si>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</si>
  <si>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</si>
  <si>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</si>
  <si>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</si>
  <si>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</si>
  <si>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</si>
  <si>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</si>
  <si>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</si>
  <si>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</si>
  <si>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</si>
  <si>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</si>
  <si>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</si>
  <si>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</si>
  <si>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</si>
  <si>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</si>
  <si>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</si>
  <si>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</si>
  <si>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</si>
  <si>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</si>
  <si>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</si>
  <si>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</si>
  <si>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</si>
  <si>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</si>
  <si>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</si>
  <si>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</si>
  <si>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</si>
  <si>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</si>
  <si>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</si>
  <si>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</si>
  <si>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</si>
  <si>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</si>
  <si>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</si>
  <si>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</si>
  <si>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</si>
  <si>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</si>
  <si>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</si>
  <si>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</si>
  <si>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</si>
  <si>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</si>
  <si>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</si>
  <si>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</si>
  <si>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</si>
  <si>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</si>
  <si>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</si>
  <si>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</si>
  <si>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</si>
  <si>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</si>
  <si>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</si>
  <si>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</si>
  <si>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</si>
  <si>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</si>
  <si>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</si>
  <si>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</si>
  <si>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</si>
  <si>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</si>
  <si>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</si>
  <si>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</si>
  <si>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</si>
  <si>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</si>
  <si>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</si>
  <si>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</si>
  <si>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</si>
  <si>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</si>
  <si>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</si>
  <si>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</si>
  <si>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</si>
  <si>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</si>
  <si>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</si>
  <si>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</si>
  <si>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</si>
  <si>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</si>
  <si>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</si>
  <si>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</si>
  <si>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</si>
  <si>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</si>
  <si>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
ТА СПЕЦІАЛЬНОГО ФОНДІВ
(без ПДФО "військовослужбовців" 
ККД 11010200) </t>
  </si>
  <si>
    <t xml:space="preserve">Власні доходи
(без ПДФО "військовослужбовців" 
ККД 11010200) </t>
  </si>
  <si>
    <t xml:space="preserve">ВСЬОГО ДОХОДІВ ЗАГАЛЬНОГО ФОНДУ
(без ПДФО "військовослужбовців" 
ККД 11010200) </t>
  </si>
  <si>
    <t>липень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</si>
  <si>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</si>
  <si>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</si>
  <si>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</si>
  <si>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</si>
  <si>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</si>
  <si>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13.1.</t>
  </si>
  <si>
    <t>13.2.</t>
  </si>
  <si>
    <t>13.3.</t>
  </si>
  <si>
    <t>13.4.</t>
  </si>
  <si>
    <t>13.5.</t>
  </si>
  <si>
    <t>13.6.</t>
  </si>
  <si>
    <t>13.7.</t>
  </si>
  <si>
    <t>Надійшло за січень - серпень 2024р.</t>
  </si>
  <si>
    <t>План на січень - серпень 2024 року</t>
  </si>
  <si>
    <t>Відхилення надходжень до плану на січень - серпень 2024 року</t>
  </si>
  <si>
    <t>План на січень - серпень 2024р. (розрахунковий)</t>
  </si>
  <si>
    <t xml:space="preserve">Відхилення надходжень до плану на січень - серпень 2024 року (розрахунковий) </t>
  </si>
  <si>
    <t>Надійшло за січень - серпень 2023р.</t>
  </si>
  <si>
    <t>серпень</t>
  </si>
  <si>
    <t>% виконання до бюджету на 2024р. (норма 66,7%)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</si>
  <si>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</si>
  <si>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41033500</t>
  </si>
  <si>
    <t>Заступник начальника відділу доходів бюджету</t>
  </si>
  <si>
    <t>Максим СЕРВЕТНИК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</si>
  <si>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</si>
  <si>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</si>
  <si>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</si>
  <si>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</si>
  <si>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</si>
  <si>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</si>
  <si>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</si>
  <si>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</si>
  <si>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</si>
  <si>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Аналіз виконання бюджету Вінницької міської територіальної громади за січень - серпень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</si>
</sst>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9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166" fontId="38" fillId="0" borderId="2" xfId="3" applyNumberFormat="1" applyFont="1" applyFill="1" applyBorder="1" applyAlignment="1">
      <alignment vertical="center" wrapText="1"/>
    </xf>
    <xf numFmtId="166" fontId="38" fillId="0" borderId="3" xfId="3" applyNumberFormat="1" applyFont="1" applyFill="1" applyBorder="1" applyAlignment="1">
      <alignment vertical="center" wrapText="1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/>
    <xf numFmtId="0" fontId="40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166" fontId="41" fillId="0" borderId="4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9" fillId="0" borderId="1" xfId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horizontal="justify" vertical="center" wrapText="1" shrinkToFi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4" fillId="0" borderId="1" xfId="3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166" fontId="38" fillId="0" borderId="4" xfId="3" applyNumberFormat="1" applyFont="1" applyFill="1" applyBorder="1" applyAlignment="1">
      <alignment vertical="center" wrapText="1"/>
    </xf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/>
    <xf numFmtId="0" fontId="33" fillId="0" borderId="1" xfId="1" applyFont="1" applyFill="1" applyBorder="1" applyAlignment="1">
      <alignment horizontal="center" vertical="center"/>
    </xf>
    <xf numFmtId="0" fontId="33" fillId="0" borderId="0" xfId="1" applyFont="1" applyFill="1" applyBorder="1"/>
    <xf numFmtId="167" fontId="41" fillId="0" borderId="1" xfId="3" applyNumberFormat="1" applyFont="1" applyFill="1" applyBorder="1" applyAlignment="1">
      <alignment horizontal="center" vertical="center"/>
    </xf>
    <xf numFmtId="0" fontId="48" fillId="0" borderId="1" xfId="3" applyNumberFormat="1" applyFont="1" applyFill="1" applyBorder="1" applyAlignment="1">
      <alignment horizontal="left" vertical="center" wrapText="1" shrinkToFi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7"/>
  <sheetViews>
    <sheetView showGridLines="0" tabSelected="1" view="pageBreakPreview" zoomScale="75" zoomScaleNormal="75" zoomScaleSheetLayoutView="75" workbookViewId="0">
      <pane xSplit="3" ySplit="4" topLeftCell="D98" activePane="bottomRight" state="frozen"/>
      <selection pane="topRight" activeCell="D1" sqref="D1"/>
      <selection pane="bottomLeft" activeCell="A5" sqref="A5"/>
      <selection pane="bottomRight" activeCell="B69" sqref="B69:B75"/>
    </sheetView>
  </sheetViews>
  <sheetFormatPr defaultRowHeight="12.75" x14ac:dyDescent="0.2"/>
  <cols>
    <col min="1" max="1" width="12.28515625" style="18" customWidth="1"/>
    <col min="2" max="2" width="83.42578125" style="18" customWidth="1"/>
    <col min="3" max="3" width="16.140625" style="18" customWidth="1"/>
    <col min="4" max="4" width="24.140625" style="18" customWidth="1"/>
    <col min="5" max="5" width="27.7109375" style="18" customWidth="1"/>
    <col min="6" max="6" width="27.7109375" style="3" customWidth="1"/>
    <col min="7" max="7" width="24.140625" style="3" hidden="1" customWidth="1"/>
    <col min="8" max="14" width="21.140625" style="3" hidden="1" customWidth="1"/>
    <col min="15" max="15" width="26.7109375" style="3" customWidth="1"/>
    <col min="16" max="16" width="23.7109375" style="3" customWidth="1"/>
    <col min="17" max="17" width="14.85546875" style="3" bestFit="1" customWidth="1"/>
    <col min="18" max="18" width="26.42578125" style="3" hidden="1" customWidth="1"/>
    <col min="19" max="19" width="23" style="3" hidden="1" customWidth="1"/>
    <col min="20" max="20" width="13.7109375" style="3" hidden="1" customWidth="1"/>
    <col min="21" max="21" width="15.28515625" style="3" customWidth="1"/>
    <col min="22" max="22" width="24.140625" style="3" customWidth="1"/>
    <col min="23" max="23" width="23.5703125" style="1" customWidth="1"/>
    <col min="24" max="24" width="13.7109375" style="3" bestFit="1" customWidth="1"/>
    <col min="25" max="25" width="24.140625" style="3" hidden="1" customWidth="1"/>
    <col min="26" max="26" width="22.5703125" style="3" hidden="1" customWidth="1"/>
    <col min="27" max="27" width="15.85546875" style="3" hidden="1" customWidth="1"/>
    <col min="28" max="28" width="0" style="3" hidden="1" customWidth="1"/>
    <col min="29" max="29" width="24.140625" style="3" hidden="1" customWidth="1"/>
    <col min="30" max="30" width="0" style="3" hidden="1" customWidth="1"/>
    <col min="31" max="31" width="15.140625" style="3" hidden="1" customWidth="1"/>
    <col min="32" max="34" width="0" style="3" hidden="1" customWidth="1"/>
    <col min="35" max="16384" width="9.140625" style="3"/>
  </cols>
  <sheetData>
    <row r="1" spans="1:39" ht="30" customHeight="1" x14ac:dyDescent="0.2">
      <c r="A1" s="167" t="s">
        <v>228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39" ht="18.75" x14ac:dyDescent="0.3">
      <c r="A2" s="21" t="s">
        <v>48</v>
      </c>
      <c r="B2" s="16"/>
      <c r="C2" s="1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134"/>
      <c r="V2" s="66"/>
      <c r="W2" s="5" t="s">
        <v>13</v>
      </c>
      <c r="X2" s="5"/>
    </row>
    <row r="3" spans="1:39" s="45" customFormat="1" ht="15" customHeight="1" x14ac:dyDescent="0.25">
      <c r="A3" s="168" t="s">
        <v>0</v>
      </c>
      <c r="B3" s="169" t="s">
        <v>1</v>
      </c>
      <c r="C3" s="169" t="s">
        <v>2</v>
      </c>
      <c r="D3" s="170" t="s">
        <v>152</v>
      </c>
      <c r="E3" s="170" t="s">
        <v>153</v>
      </c>
      <c r="F3" s="170" t="s">
        <v>207</v>
      </c>
      <c r="G3" s="170" t="s">
        <v>63</v>
      </c>
      <c r="H3" s="170" t="s">
        <v>168</v>
      </c>
      <c r="I3" s="170" t="s">
        <v>176</v>
      </c>
      <c r="J3" s="170" t="s">
        <v>181</v>
      </c>
      <c r="K3" s="170" t="s">
        <v>186</v>
      </c>
      <c r="L3" s="170" t="s">
        <v>187</v>
      </c>
      <c r="M3" s="170" t="s">
        <v>194</v>
      </c>
      <c r="N3" s="170" t="s">
        <v>213</v>
      </c>
      <c r="O3" s="170" t="s">
        <v>208</v>
      </c>
      <c r="P3" s="170" t="s">
        <v>209</v>
      </c>
      <c r="Q3" s="170" t="s">
        <v>3</v>
      </c>
      <c r="R3" s="170" t="s">
        <v>210</v>
      </c>
      <c r="S3" s="170" t="s">
        <v>211</v>
      </c>
      <c r="T3" s="170" t="s">
        <v>3</v>
      </c>
      <c r="U3" s="185" t="s">
        <v>214</v>
      </c>
      <c r="V3" s="170" t="s">
        <v>212</v>
      </c>
      <c r="W3" s="170" t="s">
        <v>156</v>
      </c>
      <c r="X3" s="170" t="s">
        <v>3</v>
      </c>
    </row>
    <row r="4" spans="1:39" s="45" customFormat="1" ht="78" customHeight="1" x14ac:dyDescent="0.25">
      <c r="A4" s="168"/>
      <c r="B4" s="169"/>
      <c r="C4" s="169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85"/>
      <c r="V4" s="170"/>
      <c r="W4" s="170"/>
      <c r="X4" s="170"/>
    </row>
    <row r="5" spans="1:39" s="49" customFormat="1" ht="20.25" x14ac:dyDescent="0.2">
      <c r="A5" s="46" t="s">
        <v>4</v>
      </c>
      <c r="B5" s="47" t="s">
        <v>5</v>
      </c>
      <c r="C5" s="47">
        <f>B5+1</f>
        <v>3</v>
      </c>
      <c r="D5" s="47">
        <f>C5+1</f>
        <v>4</v>
      </c>
      <c r="E5" s="47">
        <f t="shared" ref="E5:X5" si="0">D5+1</f>
        <v>5</v>
      </c>
      <c r="F5" s="47">
        <f t="shared" ref="F5" si="1">E5+1</f>
        <v>6</v>
      </c>
      <c r="G5" s="47">
        <f t="shared" ref="G5" si="2">F5+1</f>
        <v>7</v>
      </c>
      <c r="H5" s="47">
        <f t="shared" ref="H5" si="3">G5+1</f>
        <v>8</v>
      </c>
      <c r="I5" s="47">
        <f t="shared" ref="I5" si="4">H5+1</f>
        <v>9</v>
      </c>
      <c r="J5" s="47">
        <f t="shared" ref="J5" si="5">I5+1</f>
        <v>10</v>
      </c>
      <c r="K5" s="47">
        <f t="shared" ref="K5" si="6">J5+1</f>
        <v>11</v>
      </c>
      <c r="L5" s="47">
        <f t="shared" ref="L5" si="7">K5+1</f>
        <v>12</v>
      </c>
      <c r="M5" s="47">
        <f t="shared" ref="M5" si="8">L5+1</f>
        <v>13</v>
      </c>
      <c r="N5" s="47">
        <f t="shared" ref="N5" si="9">M5+1</f>
        <v>14</v>
      </c>
      <c r="O5" s="47">
        <v>7</v>
      </c>
      <c r="P5" s="47">
        <f t="shared" ref="P5" si="10">O5+1</f>
        <v>8</v>
      </c>
      <c r="Q5" s="47">
        <f t="shared" ref="Q5" si="11">P5+1</f>
        <v>9</v>
      </c>
      <c r="R5" s="47">
        <f t="shared" ref="R5" si="12">Q5+1</f>
        <v>10</v>
      </c>
      <c r="S5" s="47">
        <f t="shared" ref="S5" si="13">R5+1</f>
        <v>11</v>
      </c>
      <c r="T5" s="47">
        <f t="shared" ref="T5" si="14">S5+1</f>
        <v>12</v>
      </c>
      <c r="U5" s="47">
        <v>10</v>
      </c>
      <c r="V5" s="47">
        <f t="shared" si="0"/>
        <v>11</v>
      </c>
      <c r="W5" s="47">
        <f t="shared" si="0"/>
        <v>12</v>
      </c>
      <c r="X5" s="47">
        <f t="shared" si="0"/>
        <v>13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</row>
    <row r="6" spans="1:39" s="50" customFormat="1" ht="26.25" customHeight="1" x14ac:dyDescent="0.2">
      <c r="A6" s="171" t="s">
        <v>6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</row>
    <row r="7" spans="1:39" s="54" customFormat="1" ht="23.25" x14ac:dyDescent="0.25">
      <c r="A7" s="172">
        <v>1</v>
      </c>
      <c r="B7" s="59" t="s">
        <v>64</v>
      </c>
      <c r="C7" s="51" t="s">
        <v>14</v>
      </c>
      <c r="D7" s="126">
        <v>3112871.4720000001</v>
      </c>
      <c r="E7" s="126">
        <f>3224514.536+21010.43</f>
        <v>3245524.966</v>
      </c>
      <c r="F7" s="126">
        <f>SUM(G7:N7)</f>
        <v>2106010.4330000002</v>
      </c>
      <c r="G7" s="126">
        <v>211850.85699999999</v>
      </c>
      <c r="H7" s="126">
        <v>240217.06700000001</v>
      </c>
      <c r="I7" s="126">
        <v>248941.52799999999</v>
      </c>
      <c r="J7" s="126">
        <v>265666.495</v>
      </c>
      <c r="K7" s="126">
        <v>290951.80499999999</v>
      </c>
      <c r="L7" s="126">
        <v>288772.804</v>
      </c>
      <c r="M7" s="126">
        <v>284885.51500000001</v>
      </c>
      <c r="N7" s="126">
        <v>274724.36200000002</v>
      </c>
      <c r="O7" s="126">
        <v>1936099.5290000001</v>
      </c>
      <c r="P7" s="126">
        <f>F7-O7</f>
        <v>169910.9040000001</v>
      </c>
      <c r="Q7" s="112">
        <f>F7/O7*100</f>
        <v>108.77593850186823</v>
      </c>
      <c r="R7" s="126">
        <f>E7/12*8</f>
        <v>2163683.3106666668</v>
      </c>
      <c r="S7" s="126">
        <f>F7-R7</f>
        <v>-57672.877666666638</v>
      </c>
      <c r="T7" s="112">
        <f>F7/R7*100</f>
        <v>97.334504667002463</v>
      </c>
      <c r="U7" s="112">
        <f>F7/E7*100</f>
        <v>64.889669778001647</v>
      </c>
      <c r="V7" s="126">
        <v>2272787.6529999999</v>
      </c>
      <c r="W7" s="81">
        <f>F7-V7</f>
        <v>-166777.21999999974</v>
      </c>
      <c r="X7" s="82">
        <f>F7/V7*100</f>
        <v>92.661997271066681</v>
      </c>
      <c r="Y7" s="52"/>
      <c r="Z7" s="52"/>
      <c r="AA7" s="52">
        <f>Y7-Z7</f>
        <v>0</v>
      </c>
      <c r="AB7" s="53" t="e">
        <f>Y7/Z7*100</f>
        <v>#DIV/0!</v>
      </c>
    </row>
    <row r="8" spans="1:39" s="58" customFormat="1" ht="78.75" hidden="1" x14ac:dyDescent="0.25">
      <c r="A8" s="172"/>
      <c r="B8" s="104" t="s">
        <v>158</v>
      </c>
      <c r="C8" s="142" t="s">
        <v>157</v>
      </c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86"/>
      <c r="V8" s="127">
        <v>577095.348</v>
      </c>
      <c r="W8" s="128">
        <f>D8-V8</f>
        <v>-577095.348</v>
      </c>
      <c r="X8" s="129">
        <f>D8/V8*100</f>
        <v>0</v>
      </c>
      <c r="Y8" s="56"/>
      <c r="Z8" s="56"/>
      <c r="AA8" s="56"/>
      <c r="AB8" s="57"/>
    </row>
    <row r="9" spans="1:39" s="119" customFormat="1" ht="47.25" hidden="1" customHeight="1" x14ac:dyDescent="0.25">
      <c r="A9" s="172"/>
      <c r="B9" s="173" t="s">
        <v>171</v>
      </c>
      <c r="C9" s="173"/>
      <c r="D9" s="125">
        <f>D7</f>
        <v>3112871.4720000001</v>
      </c>
      <c r="E9" s="125">
        <f>E7</f>
        <v>3245524.966</v>
      </c>
      <c r="F9" s="125">
        <f t="shared" ref="F9:F85" si="15">SUM(G9:N9)</f>
        <v>2106010.4330000002</v>
      </c>
      <c r="G9" s="125">
        <f t="shared" ref="G9:O9" si="16">G7</f>
        <v>211850.85699999999</v>
      </c>
      <c r="H9" s="125">
        <f t="shared" si="16"/>
        <v>240217.06700000001</v>
      </c>
      <c r="I9" s="125">
        <f t="shared" si="16"/>
        <v>248941.52799999999</v>
      </c>
      <c r="J9" s="125">
        <f t="shared" si="16"/>
        <v>265666.495</v>
      </c>
      <c r="K9" s="125">
        <f t="shared" ref="K9:M9" si="17">K7</f>
        <v>290951.80499999999</v>
      </c>
      <c r="L9" s="125">
        <f t="shared" si="17"/>
        <v>288772.804</v>
      </c>
      <c r="M9" s="125">
        <f t="shared" si="17"/>
        <v>284885.51500000001</v>
      </c>
      <c r="N9" s="125">
        <f t="shared" si="16"/>
        <v>274724.36200000002</v>
      </c>
      <c r="O9" s="125">
        <f t="shared" si="16"/>
        <v>1936099.5290000001</v>
      </c>
      <c r="P9" s="125">
        <f t="shared" ref="P9:P56" si="18">F9-O9</f>
        <v>169910.9040000001</v>
      </c>
      <c r="Q9" s="144">
        <f t="shared" ref="Q9:Q22" si="19">F9/O9*100</f>
        <v>108.77593850186823</v>
      </c>
      <c r="R9" s="125">
        <f>E9/12*8</f>
        <v>2163683.3106666668</v>
      </c>
      <c r="S9" s="125">
        <f t="shared" ref="S9:S56" si="20">F9-R9</f>
        <v>-57672.877666666638</v>
      </c>
      <c r="T9" s="144">
        <f t="shared" ref="T9:T22" si="21">F9/R9*100</f>
        <v>97.334504667002463</v>
      </c>
      <c r="U9" s="144">
        <f t="shared" ref="U9:U22" si="22">F9/E9*100</f>
        <v>64.889669778001647</v>
      </c>
      <c r="V9" s="125">
        <f>V7-V8</f>
        <v>1695692.3049999999</v>
      </c>
      <c r="W9" s="145">
        <f t="shared" ref="W9:W55" si="23">F9-V9</f>
        <v>410318.12800000026</v>
      </c>
      <c r="X9" s="146">
        <f t="shared" ref="X9:X43" si="24">F9/V9*100</f>
        <v>124.19767588672288</v>
      </c>
      <c r="Y9" s="117"/>
      <c r="Z9" s="117"/>
      <c r="AA9" s="117"/>
      <c r="AB9" s="118"/>
    </row>
    <row r="10" spans="1:39" s="54" customFormat="1" ht="39" x14ac:dyDescent="0.25">
      <c r="A10" s="143">
        <f>A7+1</f>
        <v>2</v>
      </c>
      <c r="B10" s="59" t="s">
        <v>36</v>
      </c>
      <c r="C10" s="51" t="s">
        <v>16</v>
      </c>
      <c r="D10" s="126">
        <v>2500</v>
      </c>
      <c r="E10" s="126">
        <v>4100</v>
      </c>
      <c r="F10" s="126">
        <f t="shared" si="15"/>
        <v>5216.8330000000005</v>
      </c>
      <c r="G10" s="126">
        <v>238.74100000000001</v>
      </c>
      <c r="H10" s="126">
        <v>122.902</v>
      </c>
      <c r="I10" s="126">
        <v>2232.596</v>
      </c>
      <c r="J10" s="126">
        <v>95.078000000000003</v>
      </c>
      <c r="K10" s="126">
        <v>1108.9580000000001</v>
      </c>
      <c r="L10" s="126">
        <v>0.311</v>
      </c>
      <c r="M10" s="126">
        <v>64.537000000000006</v>
      </c>
      <c r="N10" s="126">
        <v>1353.71</v>
      </c>
      <c r="O10" s="126">
        <v>4100</v>
      </c>
      <c r="P10" s="126">
        <f t="shared" si="18"/>
        <v>1116.8330000000005</v>
      </c>
      <c r="Q10" s="112">
        <f t="shared" si="19"/>
        <v>127.2398292682927</v>
      </c>
      <c r="R10" s="126">
        <f t="shared" ref="R10:R52" si="25">E10/12*8</f>
        <v>2733.3333333333335</v>
      </c>
      <c r="S10" s="126">
        <f t="shared" si="20"/>
        <v>2483.4996666666671</v>
      </c>
      <c r="T10" s="112">
        <f t="shared" si="21"/>
        <v>190.85974390243902</v>
      </c>
      <c r="U10" s="112">
        <f t="shared" si="22"/>
        <v>127.2398292682927</v>
      </c>
      <c r="V10" s="126">
        <v>2067.3200000000002</v>
      </c>
      <c r="W10" s="81">
        <f t="shared" si="23"/>
        <v>3149.5130000000004</v>
      </c>
      <c r="X10" s="82">
        <f t="shared" si="24"/>
        <v>252.34762881411683</v>
      </c>
      <c r="Y10" s="52"/>
      <c r="Z10" s="52"/>
      <c r="AA10" s="52">
        <f>V7/0.5</f>
        <v>4545575.3059999999</v>
      </c>
      <c r="AB10" s="53">
        <f>Z10/AA10*100</f>
        <v>0</v>
      </c>
    </row>
    <row r="11" spans="1:39" s="54" customFormat="1" ht="27.75" customHeight="1" x14ac:dyDescent="0.25">
      <c r="A11" s="143">
        <v>3</v>
      </c>
      <c r="B11" s="59" t="s">
        <v>98</v>
      </c>
      <c r="C11" s="51" t="s">
        <v>99</v>
      </c>
      <c r="D11" s="126">
        <f>SUM(D12:D15)</f>
        <v>455.8</v>
      </c>
      <c r="E11" s="126">
        <f>SUM(E12:E15)</f>
        <v>455.8</v>
      </c>
      <c r="F11" s="126">
        <f t="shared" si="15"/>
        <v>137.24799999999999</v>
      </c>
      <c r="G11" s="126">
        <f t="shared" ref="G11:O11" si="26">SUM(G12:G15)</f>
        <v>0.97799999999999998</v>
      </c>
      <c r="H11" s="126">
        <f t="shared" ref="H11:M11" si="27">SUM(H12:H15)</f>
        <v>61.451999999999998</v>
      </c>
      <c r="I11" s="126">
        <f t="shared" si="27"/>
        <v>1.4999999999999999E-2</v>
      </c>
      <c r="J11" s="126">
        <f t="shared" si="27"/>
        <v>2</v>
      </c>
      <c r="K11" s="126">
        <f t="shared" si="27"/>
        <v>29.079000000000001</v>
      </c>
      <c r="L11" s="126">
        <f t="shared" si="27"/>
        <v>0.26200000000000001</v>
      </c>
      <c r="M11" s="126">
        <f t="shared" si="27"/>
        <v>2.194</v>
      </c>
      <c r="N11" s="126">
        <f t="shared" si="26"/>
        <v>41.268000000000001</v>
      </c>
      <c r="O11" s="126">
        <f t="shared" si="26"/>
        <v>136.20500000000001</v>
      </c>
      <c r="P11" s="126">
        <f t="shared" si="18"/>
        <v>1.0429999999999779</v>
      </c>
      <c r="Q11" s="112">
        <f t="shared" si="19"/>
        <v>100.76575749788918</v>
      </c>
      <c r="R11" s="126">
        <f t="shared" si="25"/>
        <v>303.86666666666667</v>
      </c>
      <c r="S11" s="126">
        <f t="shared" si="20"/>
        <v>-166.61866666666668</v>
      </c>
      <c r="T11" s="112">
        <f t="shared" si="21"/>
        <v>45.167178587099599</v>
      </c>
      <c r="U11" s="112">
        <f t="shared" si="22"/>
        <v>30.111452391399734</v>
      </c>
      <c r="V11" s="126">
        <f>SUM(V12:V15)</f>
        <v>304.55500000000001</v>
      </c>
      <c r="W11" s="81">
        <f t="shared" si="23"/>
        <v>-167.30700000000002</v>
      </c>
      <c r="X11" s="82">
        <f t="shared" si="24"/>
        <v>45.065094974635116</v>
      </c>
      <c r="Y11" s="52"/>
      <c r="Z11" s="52"/>
      <c r="AA11" s="52"/>
      <c r="AB11" s="53"/>
    </row>
    <row r="12" spans="1:39" s="58" customFormat="1" ht="58.5" x14ac:dyDescent="0.25">
      <c r="A12" s="55" t="s">
        <v>100</v>
      </c>
      <c r="B12" s="103" t="s">
        <v>121</v>
      </c>
      <c r="C12" s="141" t="s">
        <v>122</v>
      </c>
      <c r="D12" s="127">
        <v>32</v>
      </c>
      <c r="E12" s="127">
        <v>32</v>
      </c>
      <c r="F12" s="127">
        <f t="shared" si="15"/>
        <v>15.962</v>
      </c>
      <c r="G12" s="127">
        <v>0</v>
      </c>
      <c r="H12" s="127">
        <v>8.84</v>
      </c>
      <c r="I12" s="127">
        <v>0</v>
      </c>
      <c r="J12" s="127">
        <v>0</v>
      </c>
      <c r="K12" s="127">
        <v>3.5609999999999999</v>
      </c>
      <c r="L12" s="127">
        <v>0</v>
      </c>
      <c r="M12" s="127">
        <v>0</v>
      </c>
      <c r="N12" s="127">
        <v>3.5609999999999999</v>
      </c>
      <c r="O12" s="127">
        <v>15.9</v>
      </c>
      <c r="P12" s="127">
        <f t="shared" si="18"/>
        <v>6.1999999999999389E-2</v>
      </c>
      <c r="Q12" s="113">
        <f t="shared" si="19"/>
        <v>100.38993710691824</v>
      </c>
      <c r="R12" s="127">
        <f t="shared" si="25"/>
        <v>21.333333333333332</v>
      </c>
      <c r="S12" s="127">
        <f t="shared" si="20"/>
        <v>-5.3713333333333324</v>
      </c>
      <c r="T12" s="113">
        <f t="shared" si="21"/>
        <v>74.821875000000006</v>
      </c>
      <c r="U12" s="113">
        <f t="shared" si="22"/>
        <v>49.881250000000001</v>
      </c>
      <c r="V12" s="127">
        <v>21.887999999999998</v>
      </c>
      <c r="W12" s="128">
        <f t="shared" si="23"/>
        <v>-5.9259999999999984</v>
      </c>
      <c r="X12" s="129">
        <f t="shared" si="24"/>
        <v>72.925804093567265</v>
      </c>
      <c r="Y12" s="56"/>
      <c r="Z12" s="56"/>
      <c r="AA12" s="56"/>
      <c r="AB12" s="57"/>
    </row>
    <row r="13" spans="1:39" s="58" customFormat="1" ht="78" x14ac:dyDescent="0.25">
      <c r="A13" s="55" t="s">
        <v>101</v>
      </c>
      <c r="B13" s="103" t="s">
        <v>93</v>
      </c>
      <c r="C13" s="44" t="s">
        <v>94</v>
      </c>
      <c r="D13" s="127">
        <v>305</v>
      </c>
      <c r="E13" s="127">
        <v>305</v>
      </c>
      <c r="F13" s="127">
        <f t="shared" si="15"/>
        <v>48.914000000000001</v>
      </c>
      <c r="G13" s="127">
        <v>0</v>
      </c>
      <c r="H13" s="127">
        <v>35.136000000000003</v>
      </c>
      <c r="I13" s="127">
        <v>0</v>
      </c>
      <c r="J13" s="127">
        <v>0</v>
      </c>
      <c r="K13" s="127">
        <v>3.633</v>
      </c>
      <c r="L13" s="127">
        <v>0</v>
      </c>
      <c r="M13" s="127">
        <v>0</v>
      </c>
      <c r="N13" s="127">
        <v>10.145</v>
      </c>
      <c r="O13" s="127">
        <v>48</v>
      </c>
      <c r="P13" s="127">
        <f t="shared" si="18"/>
        <v>0.91400000000000148</v>
      </c>
      <c r="Q13" s="113">
        <f t="shared" si="19"/>
        <v>101.90416666666667</v>
      </c>
      <c r="R13" s="127">
        <f t="shared" si="25"/>
        <v>203.33333333333334</v>
      </c>
      <c r="S13" s="127">
        <f t="shared" si="20"/>
        <v>-154.41933333333333</v>
      </c>
      <c r="T13" s="113">
        <f t="shared" si="21"/>
        <v>24.056065573770489</v>
      </c>
      <c r="U13" s="113">
        <f t="shared" si="22"/>
        <v>16.037377049180328</v>
      </c>
      <c r="V13" s="127">
        <v>211.78700000000001</v>
      </c>
      <c r="W13" s="128">
        <f t="shared" si="23"/>
        <v>-162.87299999999999</v>
      </c>
      <c r="X13" s="129">
        <f t="shared" si="24"/>
        <v>23.095846298403586</v>
      </c>
    </row>
    <row r="14" spans="1:39" s="58" customFormat="1" ht="39" x14ac:dyDescent="0.25">
      <c r="A14" s="55" t="s">
        <v>102</v>
      </c>
      <c r="B14" s="103" t="s">
        <v>119</v>
      </c>
      <c r="C14" s="44" t="s">
        <v>97</v>
      </c>
      <c r="D14" s="127">
        <v>117</v>
      </c>
      <c r="E14" s="127">
        <v>117</v>
      </c>
      <c r="F14" s="127">
        <f t="shared" si="15"/>
        <v>71.804000000000002</v>
      </c>
      <c r="G14" s="127">
        <v>0.97799999999999998</v>
      </c>
      <c r="H14" s="127">
        <v>17.292999999999999</v>
      </c>
      <c r="I14" s="127">
        <v>1.4999999999999999E-2</v>
      </c>
      <c r="J14" s="127">
        <v>2</v>
      </c>
      <c r="K14" s="127">
        <v>21.701000000000001</v>
      </c>
      <c r="L14" s="127">
        <v>0.26200000000000001</v>
      </c>
      <c r="M14" s="127">
        <v>2.194</v>
      </c>
      <c r="N14" s="127">
        <v>27.361000000000001</v>
      </c>
      <c r="O14" s="127">
        <v>71.745000000000005</v>
      </c>
      <c r="P14" s="127">
        <f t="shared" si="18"/>
        <v>5.8999999999997499E-2</v>
      </c>
      <c r="Q14" s="113">
        <f t="shared" si="19"/>
        <v>100.0822356958673</v>
      </c>
      <c r="R14" s="127">
        <f t="shared" si="25"/>
        <v>78</v>
      </c>
      <c r="S14" s="127">
        <f t="shared" si="20"/>
        <v>-6.195999999999998</v>
      </c>
      <c r="T14" s="113">
        <f t="shared" si="21"/>
        <v>92.05641025641026</v>
      </c>
      <c r="U14" s="113">
        <f t="shared" si="22"/>
        <v>61.370940170940166</v>
      </c>
      <c r="V14" s="127">
        <v>69.361999999999995</v>
      </c>
      <c r="W14" s="128">
        <f t="shared" si="23"/>
        <v>2.4420000000000073</v>
      </c>
      <c r="X14" s="129">
        <f t="shared" si="24"/>
        <v>103.52065972722816</v>
      </c>
    </row>
    <row r="15" spans="1:39" s="58" customFormat="1" ht="39" x14ac:dyDescent="0.25">
      <c r="A15" s="55" t="s">
        <v>123</v>
      </c>
      <c r="B15" s="103" t="s">
        <v>118</v>
      </c>
      <c r="C15" s="44" t="s">
        <v>117</v>
      </c>
      <c r="D15" s="127">
        <v>1.8</v>
      </c>
      <c r="E15" s="127">
        <v>1.8</v>
      </c>
      <c r="F15" s="127">
        <f t="shared" si="15"/>
        <v>0.56800000000000006</v>
      </c>
      <c r="G15" s="127">
        <v>0</v>
      </c>
      <c r="H15" s="127">
        <v>0.183</v>
      </c>
      <c r="I15" s="127">
        <v>0</v>
      </c>
      <c r="J15" s="127">
        <v>0</v>
      </c>
      <c r="K15" s="127">
        <v>0.184</v>
      </c>
      <c r="L15" s="127">
        <v>0</v>
      </c>
      <c r="M15" s="127">
        <v>0</v>
      </c>
      <c r="N15" s="127">
        <v>0.20100000000000001</v>
      </c>
      <c r="O15" s="127">
        <v>0.56000000000000005</v>
      </c>
      <c r="P15" s="127">
        <f t="shared" si="18"/>
        <v>8.0000000000000071E-3</v>
      </c>
      <c r="Q15" s="113">
        <f t="shared" si="19"/>
        <v>101.42857142857142</v>
      </c>
      <c r="R15" s="127">
        <f t="shared" si="25"/>
        <v>1.2</v>
      </c>
      <c r="S15" s="127">
        <f t="shared" si="20"/>
        <v>-0.6319999999999999</v>
      </c>
      <c r="T15" s="113">
        <f t="shared" si="21"/>
        <v>47.333333333333336</v>
      </c>
      <c r="U15" s="113">
        <f t="shared" si="22"/>
        <v>31.555555555555557</v>
      </c>
      <c r="V15" s="127">
        <v>1.5179999999999998</v>
      </c>
      <c r="W15" s="128">
        <f t="shared" si="23"/>
        <v>-0.94999999999999973</v>
      </c>
      <c r="X15" s="129">
        <f t="shared" si="24"/>
        <v>37.417654808959163</v>
      </c>
    </row>
    <row r="16" spans="1:39" s="54" customFormat="1" ht="23.25" x14ac:dyDescent="0.25">
      <c r="A16" s="143">
        <v>4</v>
      </c>
      <c r="B16" s="70" t="s">
        <v>84</v>
      </c>
      <c r="C16" s="67" t="s">
        <v>83</v>
      </c>
      <c r="D16" s="126">
        <f>D17+D20</f>
        <v>459000</v>
      </c>
      <c r="E16" s="126">
        <f>E17+E20</f>
        <v>452281</v>
      </c>
      <c r="F16" s="126">
        <f t="shared" si="15"/>
        <v>311645.158</v>
      </c>
      <c r="G16" s="126">
        <f t="shared" ref="G16:O16" si="28">G17+G20</f>
        <v>40518.83</v>
      </c>
      <c r="H16" s="126">
        <f t="shared" ref="H16:M16" si="29">H17+H20</f>
        <v>25927.566999999999</v>
      </c>
      <c r="I16" s="126">
        <f t="shared" si="29"/>
        <v>34284.724000000002</v>
      </c>
      <c r="J16" s="126">
        <f t="shared" si="29"/>
        <v>36373.17</v>
      </c>
      <c r="K16" s="126">
        <f t="shared" si="29"/>
        <v>40859.608999999997</v>
      </c>
      <c r="L16" s="126">
        <f t="shared" si="29"/>
        <v>41323.623000000007</v>
      </c>
      <c r="M16" s="126">
        <f t="shared" si="29"/>
        <v>44611.351000000002</v>
      </c>
      <c r="N16" s="126">
        <f t="shared" si="28"/>
        <v>47746.284</v>
      </c>
      <c r="O16" s="126">
        <f t="shared" si="28"/>
        <v>307305.59999999998</v>
      </c>
      <c r="P16" s="126">
        <f t="shared" si="18"/>
        <v>4339.5580000000191</v>
      </c>
      <c r="Q16" s="112">
        <f t="shared" si="19"/>
        <v>101.41213111638707</v>
      </c>
      <c r="R16" s="126">
        <f t="shared" si="25"/>
        <v>301520.66666666669</v>
      </c>
      <c r="S16" s="126">
        <f t="shared" si="20"/>
        <v>10124.49133333331</v>
      </c>
      <c r="T16" s="112">
        <f t="shared" si="21"/>
        <v>103.35781007824781</v>
      </c>
      <c r="U16" s="112">
        <f t="shared" si="22"/>
        <v>68.905206718831877</v>
      </c>
      <c r="V16" s="126">
        <f>V17+V20</f>
        <v>267733.44399999996</v>
      </c>
      <c r="W16" s="81">
        <f t="shared" si="23"/>
        <v>43911.714000000036</v>
      </c>
      <c r="X16" s="82">
        <f t="shared" si="24"/>
        <v>116.40128082018772</v>
      </c>
    </row>
    <row r="17" spans="1:27" s="58" customFormat="1" ht="39" x14ac:dyDescent="0.25">
      <c r="A17" s="55" t="s">
        <v>113</v>
      </c>
      <c r="B17" s="103" t="s">
        <v>146</v>
      </c>
      <c r="C17" s="176" t="s">
        <v>151</v>
      </c>
      <c r="D17" s="127">
        <f>SUM(D18:D19)</f>
        <v>153000</v>
      </c>
      <c r="E17" s="127">
        <f>SUM(E18:E19)</f>
        <v>153000</v>
      </c>
      <c r="F17" s="127">
        <f t="shared" si="15"/>
        <v>112776.20599999999</v>
      </c>
      <c r="G17" s="127">
        <f t="shared" ref="G17:O17" si="30">SUM(G18:G19)</f>
        <v>13410.271999999999</v>
      </c>
      <c r="H17" s="127">
        <f t="shared" ref="H17:M17" si="31">SUM(H18:H19)</f>
        <v>10447.123</v>
      </c>
      <c r="I17" s="127">
        <f t="shared" si="31"/>
        <v>12704.659</v>
      </c>
      <c r="J17" s="127">
        <f t="shared" si="31"/>
        <v>14001.805999999999</v>
      </c>
      <c r="K17" s="127">
        <f t="shared" si="31"/>
        <v>14278.18</v>
      </c>
      <c r="L17" s="127">
        <f t="shared" si="31"/>
        <v>14547.359</v>
      </c>
      <c r="M17" s="127">
        <f t="shared" si="31"/>
        <v>15731.674000000001</v>
      </c>
      <c r="N17" s="127">
        <f t="shared" si="30"/>
        <v>17655.132999999998</v>
      </c>
      <c r="O17" s="127">
        <f t="shared" si="30"/>
        <v>111745</v>
      </c>
      <c r="P17" s="127">
        <f t="shared" si="18"/>
        <v>1031.205999999991</v>
      </c>
      <c r="Q17" s="113">
        <f t="shared" si="19"/>
        <v>100.92282070786165</v>
      </c>
      <c r="R17" s="127">
        <f t="shared" si="25"/>
        <v>102000</v>
      </c>
      <c r="S17" s="127">
        <f t="shared" si="20"/>
        <v>10776.205999999991</v>
      </c>
      <c r="T17" s="113">
        <f t="shared" si="21"/>
        <v>110.56490784313723</v>
      </c>
      <c r="U17" s="113">
        <f t="shared" si="22"/>
        <v>73.709938562091494</v>
      </c>
      <c r="V17" s="127">
        <f>SUM(V18:V19)</f>
        <v>83790.945999999996</v>
      </c>
      <c r="W17" s="128">
        <f t="shared" si="23"/>
        <v>28985.259999999995</v>
      </c>
      <c r="X17" s="129">
        <f t="shared" si="24"/>
        <v>134.59235321200455</v>
      </c>
    </row>
    <row r="18" spans="1:27" s="58" customFormat="1" ht="39" x14ac:dyDescent="0.25">
      <c r="A18" s="55" t="s">
        <v>142</v>
      </c>
      <c r="B18" s="103" t="s">
        <v>87</v>
      </c>
      <c r="C18" s="176"/>
      <c r="D18" s="127">
        <v>34000</v>
      </c>
      <c r="E18" s="127">
        <v>34000</v>
      </c>
      <c r="F18" s="127">
        <f t="shared" si="15"/>
        <v>16445.546999999999</v>
      </c>
      <c r="G18" s="127">
        <v>1880.6579999999999</v>
      </c>
      <c r="H18" s="127">
        <v>1575.9380000000001</v>
      </c>
      <c r="I18" s="127">
        <v>2017.0070000000001</v>
      </c>
      <c r="J18" s="127">
        <v>2418.721</v>
      </c>
      <c r="K18" s="127">
        <v>2057.7310000000002</v>
      </c>
      <c r="L18" s="127">
        <v>2219.3890000000001</v>
      </c>
      <c r="M18" s="127">
        <v>2923.029</v>
      </c>
      <c r="N18" s="127">
        <v>1353.0740000000001</v>
      </c>
      <c r="O18" s="127">
        <v>16245</v>
      </c>
      <c r="P18" s="127">
        <f t="shared" si="18"/>
        <v>200.54699999999866</v>
      </c>
      <c r="Q18" s="113">
        <f t="shared" si="19"/>
        <v>101.23451523545705</v>
      </c>
      <c r="R18" s="127">
        <f t="shared" si="25"/>
        <v>22666.666666666668</v>
      </c>
      <c r="S18" s="127">
        <f t="shared" si="20"/>
        <v>-6221.1196666666692</v>
      </c>
      <c r="T18" s="113">
        <f t="shared" si="21"/>
        <v>72.553883823529404</v>
      </c>
      <c r="U18" s="113">
        <f t="shared" si="22"/>
        <v>48.369255882352938</v>
      </c>
      <c r="V18" s="127">
        <v>16699.798999999999</v>
      </c>
      <c r="W18" s="128">
        <f t="shared" si="23"/>
        <v>-254.25200000000041</v>
      </c>
      <c r="X18" s="129">
        <f t="shared" si="24"/>
        <v>98.47751460960697</v>
      </c>
      <c r="Y18" s="56">
        <f>V18+V19</f>
        <v>83790.945999999996</v>
      </c>
      <c r="Z18" s="56">
        <f>F18+F19</f>
        <v>112776.20600000001</v>
      </c>
    </row>
    <row r="19" spans="1:27" s="58" customFormat="1" ht="39" x14ac:dyDescent="0.25">
      <c r="A19" s="55" t="s">
        <v>143</v>
      </c>
      <c r="B19" s="103" t="s">
        <v>88</v>
      </c>
      <c r="C19" s="176"/>
      <c r="D19" s="127">
        <v>119000</v>
      </c>
      <c r="E19" s="127">
        <v>119000</v>
      </c>
      <c r="F19" s="127">
        <f t="shared" si="15"/>
        <v>96330.659</v>
      </c>
      <c r="G19" s="127">
        <v>11529.614</v>
      </c>
      <c r="H19" s="127">
        <v>8871.1849999999995</v>
      </c>
      <c r="I19" s="127">
        <v>10687.652</v>
      </c>
      <c r="J19" s="127">
        <v>11583.084999999999</v>
      </c>
      <c r="K19" s="127">
        <v>12220.449000000001</v>
      </c>
      <c r="L19" s="127">
        <v>12327.97</v>
      </c>
      <c r="M19" s="127">
        <v>12808.645</v>
      </c>
      <c r="N19" s="127">
        <v>16302.058999999999</v>
      </c>
      <c r="O19" s="127">
        <v>95500</v>
      </c>
      <c r="P19" s="127">
        <f t="shared" si="18"/>
        <v>830.65899999999965</v>
      </c>
      <c r="Q19" s="113">
        <f t="shared" si="19"/>
        <v>100.86980000000001</v>
      </c>
      <c r="R19" s="127">
        <f t="shared" si="25"/>
        <v>79333.333333333328</v>
      </c>
      <c r="S19" s="127">
        <f t="shared" si="20"/>
        <v>16997.325666666671</v>
      </c>
      <c r="T19" s="113">
        <f t="shared" si="21"/>
        <v>121.42520042016807</v>
      </c>
      <c r="U19" s="113">
        <f t="shared" si="22"/>
        <v>80.950133613445374</v>
      </c>
      <c r="V19" s="127">
        <v>67091.146999999997</v>
      </c>
      <c r="W19" s="128">
        <f t="shared" si="23"/>
        <v>29239.512000000002</v>
      </c>
      <c r="X19" s="129">
        <f t="shared" si="24"/>
        <v>143.58177391124346</v>
      </c>
    </row>
    <row r="20" spans="1:27" s="58" customFormat="1" ht="39" x14ac:dyDescent="0.25">
      <c r="A20" s="55" t="s">
        <v>114</v>
      </c>
      <c r="B20" s="103" t="s">
        <v>89</v>
      </c>
      <c r="C20" s="44" t="s">
        <v>56</v>
      </c>
      <c r="D20" s="127">
        <f t="shared" ref="D20:E20" si="32">SUM(D21:D22)</f>
        <v>306000</v>
      </c>
      <c r="E20" s="127">
        <f t="shared" si="32"/>
        <v>299281</v>
      </c>
      <c r="F20" s="127">
        <f t="shared" si="15"/>
        <v>198868.95199999999</v>
      </c>
      <c r="G20" s="127">
        <f t="shared" ref="G20:O20" si="33">SUM(G21:G22)</f>
        <v>27108.558000000001</v>
      </c>
      <c r="H20" s="127">
        <f t="shared" ref="H20:M20" si="34">SUM(H21:H22)</f>
        <v>15480.444</v>
      </c>
      <c r="I20" s="127">
        <f t="shared" si="34"/>
        <v>21580.065000000002</v>
      </c>
      <c r="J20" s="127">
        <f t="shared" si="34"/>
        <v>22371.364000000001</v>
      </c>
      <c r="K20" s="127">
        <f t="shared" si="34"/>
        <v>26581.429</v>
      </c>
      <c r="L20" s="127">
        <f t="shared" si="34"/>
        <v>26776.264000000003</v>
      </c>
      <c r="M20" s="127">
        <f t="shared" si="34"/>
        <v>28879.677</v>
      </c>
      <c r="N20" s="127">
        <f t="shared" si="33"/>
        <v>30091.150999999998</v>
      </c>
      <c r="O20" s="127">
        <f t="shared" si="33"/>
        <v>195560.6</v>
      </c>
      <c r="P20" s="127">
        <f t="shared" si="18"/>
        <v>3308.3519999999844</v>
      </c>
      <c r="Q20" s="113">
        <f t="shared" si="19"/>
        <v>101.691727270217</v>
      </c>
      <c r="R20" s="127">
        <f t="shared" si="25"/>
        <v>199520.66666666666</v>
      </c>
      <c r="S20" s="127">
        <f t="shared" si="20"/>
        <v>-651.71466666666674</v>
      </c>
      <c r="T20" s="113">
        <f t="shared" si="21"/>
        <v>99.673359819032953</v>
      </c>
      <c r="U20" s="113">
        <f t="shared" si="22"/>
        <v>66.448906546021959</v>
      </c>
      <c r="V20" s="127">
        <f>V21+V22</f>
        <v>183942.49799999996</v>
      </c>
      <c r="W20" s="128">
        <f t="shared" si="23"/>
        <v>14926.454000000027</v>
      </c>
      <c r="X20" s="129">
        <f t="shared" si="24"/>
        <v>108.11473920507486</v>
      </c>
    </row>
    <row r="21" spans="1:27" s="58" customFormat="1" ht="117" x14ac:dyDescent="0.25">
      <c r="A21" s="55" t="s">
        <v>144</v>
      </c>
      <c r="B21" s="103" t="s">
        <v>128</v>
      </c>
      <c r="C21" s="44">
        <v>14040100</v>
      </c>
      <c r="D21" s="127">
        <v>179000</v>
      </c>
      <c r="E21" s="127">
        <v>172281</v>
      </c>
      <c r="F21" s="127">
        <f t="shared" si="15"/>
        <v>115991.171</v>
      </c>
      <c r="G21" s="127">
        <v>15616.877</v>
      </c>
      <c r="H21" s="127">
        <v>7234.652</v>
      </c>
      <c r="I21" s="127">
        <v>12636.714</v>
      </c>
      <c r="J21" s="127">
        <v>12694.672</v>
      </c>
      <c r="K21" s="127">
        <v>16717.552</v>
      </c>
      <c r="L21" s="127">
        <v>15685.031000000001</v>
      </c>
      <c r="M21" s="127">
        <v>17448.887999999999</v>
      </c>
      <c r="N21" s="127">
        <v>17956.785</v>
      </c>
      <c r="O21" s="127">
        <v>115890.6</v>
      </c>
      <c r="P21" s="127">
        <f t="shared" si="18"/>
        <v>100.57099999999627</v>
      </c>
      <c r="Q21" s="113">
        <f t="shared" si="19"/>
        <v>100.08678098137381</v>
      </c>
      <c r="R21" s="127">
        <f t="shared" si="25"/>
        <v>114854</v>
      </c>
      <c r="S21" s="127">
        <f t="shared" si="20"/>
        <v>1137.1710000000021</v>
      </c>
      <c r="T21" s="113">
        <f t="shared" si="21"/>
        <v>100.99010134605673</v>
      </c>
      <c r="U21" s="113">
        <f t="shared" si="22"/>
        <v>67.326734230704488</v>
      </c>
      <c r="V21" s="127">
        <v>108302.42099999999</v>
      </c>
      <c r="W21" s="128">
        <f t="shared" si="23"/>
        <v>7688.7500000000146</v>
      </c>
      <c r="X21" s="129">
        <f t="shared" si="24"/>
        <v>107.09933344888016</v>
      </c>
    </row>
    <row r="22" spans="1:27" s="58" customFormat="1" ht="78" x14ac:dyDescent="0.25">
      <c r="A22" s="55" t="s">
        <v>145</v>
      </c>
      <c r="B22" s="103" t="s">
        <v>129</v>
      </c>
      <c r="C22" s="44">
        <v>14040200</v>
      </c>
      <c r="D22" s="127">
        <v>127000</v>
      </c>
      <c r="E22" s="127">
        <v>127000</v>
      </c>
      <c r="F22" s="127">
        <f t="shared" si="15"/>
        <v>82877.781000000003</v>
      </c>
      <c r="G22" s="127">
        <v>11491.681</v>
      </c>
      <c r="H22" s="127">
        <v>8245.7919999999995</v>
      </c>
      <c r="I22" s="127">
        <v>8943.3510000000006</v>
      </c>
      <c r="J22" s="127">
        <v>9676.6919999999991</v>
      </c>
      <c r="K22" s="127">
        <v>9863.8770000000004</v>
      </c>
      <c r="L22" s="127">
        <v>11091.233</v>
      </c>
      <c r="M22" s="127">
        <v>11430.789000000001</v>
      </c>
      <c r="N22" s="127">
        <v>12134.366</v>
      </c>
      <c r="O22" s="127">
        <v>79670</v>
      </c>
      <c r="P22" s="127">
        <f t="shared" si="18"/>
        <v>3207.7810000000027</v>
      </c>
      <c r="Q22" s="113">
        <f t="shared" si="19"/>
        <v>104.02633488138574</v>
      </c>
      <c r="R22" s="127">
        <f t="shared" si="25"/>
        <v>84666.666666666672</v>
      </c>
      <c r="S22" s="127">
        <f t="shared" si="20"/>
        <v>-1788.8856666666688</v>
      </c>
      <c r="T22" s="113">
        <f t="shared" si="21"/>
        <v>97.88714291338583</v>
      </c>
      <c r="U22" s="113">
        <f t="shared" si="22"/>
        <v>65.258095275590549</v>
      </c>
      <c r="V22" s="127">
        <v>75640.07699999999</v>
      </c>
      <c r="W22" s="128">
        <f t="shared" si="23"/>
        <v>7237.7040000000125</v>
      </c>
      <c r="X22" s="129">
        <f t="shared" si="24"/>
        <v>109.56861003724259</v>
      </c>
    </row>
    <row r="23" spans="1:27" s="71" customFormat="1" ht="23.25" x14ac:dyDescent="0.25">
      <c r="A23" s="143">
        <v>5</v>
      </c>
      <c r="B23" s="59" t="s">
        <v>179</v>
      </c>
      <c r="C23" s="51" t="s">
        <v>130</v>
      </c>
      <c r="D23" s="126">
        <v>0</v>
      </c>
      <c r="E23" s="126">
        <v>0</v>
      </c>
      <c r="F23" s="126">
        <f t="shared" si="15"/>
        <v>1.867</v>
      </c>
      <c r="G23" s="126">
        <v>0</v>
      </c>
      <c r="H23" s="126">
        <v>0</v>
      </c>
      <c r="I23" s="126">
        <v>1.867</v>
      </c>
      <c r="J23" s="126"/>
      <c r="K23" s="126"/>
      <c r="L23" s="126"/>
      <c r="M23" s="126"/>
      <c r="N23" s="126"/>
      <c r="O23" s="126"/>
      <c r="P23" s="126">
        <f t="shared" si="18"/>
        <v>1.867</v>
      </c>
      <c r="Q23" s="112"/>
      <c r="R23" s="126">
        <f t="shared" si="25"/>
        <v>0</v>
      </c>
      <c r="S23" s="126">
        <f t="shared" si="20"/>
        <v>1.867</v>
      </c>
      <c r="T23" s="112"/>
      <c r="U23" s="112"/>
      <c r="V23" s="126">
        <v>1.2E-2</v>
      </c>
      <c r="W23" s="81">
        <f t="shared" si="23"/>
        <v>1.855</v>
      </c>
      <c r="X23" s="82">
        <f t="shared" si="24"/>
        <v>15558.333333333334</v>
      </c>
      <c r="Y23" s="94"/>
      <c r="Z23" s="94"/>
    </row>
    <row r="24" spans="1:27" s="71" customFormat="1" ht="39" x14ac:dyDescent="0.25">
      <c r="A24" s="143">
        <v>6</v>
      </c>
      <c r="B24" s="59" t="s">
        <v>127</v>
      </c>
      <c r="C24" s="51" t="s">
        <v>38</v>
      </c>
      <c r="D24" s="126">
        <f>D25+D26+D27+D29+D28</f>
        <v>1522620.5</v>
      </c>
      <c r="E24" s="126">
        <f>E25+E26+E27+E29+E28</f>
        <v>1541318.6140000001</v>
      </c>
      <c r="F24" s="126">
        <f t="shared" si="15"/>
        <v>1145912.3530000001</v>
      </c>
      <c r="G24" s="126">
        <f t="shared" ref="G24:O24" si="35">G25+G26+G27+G29+G28</f>
        <v>166303.29399999999</v>
      </c>
      <c r="H24" s="126">
        <f t="shared" ref="H24:M24" si="36">H25+H26+H27+H29+H28</f>
        <v>166294.84599999999</v>
      </c>
      <c r="I24" s="126">
        <f t="shared" si="36"/>
        <v>80628.866000000009</v>
      </c>
      <c r="J24" s="126">
        <f t="shared" si="36"/>
        <v>168253.326</v>
      </c>
      <c r="K24" s="126">
        <f t="shared" si="36"/>
        <v>145102.02800000002</v>
      </c>
      <c r="L24" s="126">
        <f t="shared" si="36"/>
        <v>74999.922000000006</v>
      </c>
      <c r="M24" s="126">
        <f t="shared" si="36"/>
        <v>187675.79700000002</v>
      </c>
      <c r="N24" s="126">
        <f t="shared" si="35"/>
        <v>156654.274</v>
      </c>
      <c r="O24" s="126">
        <f t="shared" si="35"/>
        <v>1100923.0559999999</v>
      </c>
      <c r="P24" s="126">
        <f t="shared" si="18"/>
        <v>44989.297000000253</v>
      </c>
      <c r="Q24" s="112">
        <f t="shared" ref="Q24:Q48" si="37">F24/O24*100</f>
        <v>104.08650693205215</v>
      </c>
      <c r="R24" s="126">
        <f t="shared" si="25"/>
        <v>1027545.7426666667</v>
      </c>
      <c r="S24" s="126">
        <f t="shared" si="20"/>
        <v>118366.61033333337</v>
      </c>
      <c r="T24" s="112">
        <f t="shared" ref="T24:T54" si="38">F24/R24*100</f>
        <v>111.51935192939932</v>
      </c>
      <c r="U24" s="112">
        <f t="shared" ref="U24:U54" si="39">F24/E24*100</f>
        <v>74.346234619599556</v>
      </c>
      <c r="V24" s="126">
        <f t="shared" ref="V24" si="40">V25+V26+V27+V29+V28</f>
        <v>871352.14500000002</v>
      </c>
      <c r="W24" s="81">
        <f t="shared" si="23"/>
        <v>274560.2080000001</v>
      </c>
      <c r="X24" s="82">
        <f t="shared" si="24"/>
        <v>131.50967259052311</v>
      </c>
      <c r="Y24" s="94">
        <f>V26+V27+V25</f>
        <v>305452.81499999994</v>
      </c>
      <c r="Z24" s="94">
        <f>F25+F26+F27</f>
        <v>364737.72100000002</v>
      </c>
    </row>
    <row r="25" spans="1:27" s="73" customFormat="1" ht="23.25" x14ac:dyDescent="0.25">
      <c r="A25" s="72" t="s">
        <v>219</v>
      </c>
      <c r="B25" s="104" t="s">
        <v>57</v>
      </c>
      <c r="C25" s="177" t="s">
        <v>44</v>
      </c>
      <c r="D25" s="127">
        <f>1130+29500+34000+106300</f>
        <v>170930</v>
      </c>
      <c r="E25" s="127">
        <f>1130+29500+34000+106300</f>
        <v>170930</v>
      </c>
      <c r="F25" s="127">
        <f t="shared" si="15"/>
        <v>144490.872</v>
      </c>
      <c r="G25" s="127">
        <v>22984.595000000001</v>
      </c>
      <c r="H25" s="127">
        <v>12356.476000000001</v>
      </c>
      <c r="I25" s="127">
        <v>11892.504000000001</v>
      </c>
      <c r="J25" s="127">
        <v>25969.126</v>
      </c>
      <c r="K25" s="127">
        <v>12545.951999999999</v>
      </c>
      <c r="L25" s="127">
        <v>11104.888000000001</v>
      </c>
      <c r="M25" s="127">
        <v>31986.848000000002</v>
      </c>
      <c r="N25" s="127">
        <v>15650.483</v>
      </c>
      <c r="O25" s="127">
        <v>135476.75399999999</v>
      </c>
      <c r="P25" s="127">
        <f t="shared" si="18"/>
        <v>9014.1180000000168</v>
      </c>
      <c r="Q25" s="113">
        <f t="shared" si="37"/>
        <v>106.65362708645945</v>
      </c>
      <c r="R25" s="127">
        <f t="shared" si="25"/>
        <v>113953.33333333333</v>
      </c>
      <c r="S25" s="127">
        <f t="shared" si="20"/>
        <v>30537.538666666675</v>
      </c>
      <c r="T25" s="113">
        <f t="shared" si="38"/>
        <v>126.79828467793834</v>
      </c>
      <c r="U25" s="113">
        <f t="shared" si="39"/>
        <v>84.532189785292218</v>
      </c>
      <c r="V25" s="127">
        <v>103434.261</v>
      </c>
      <c r="W25" s="128">
        <f t="shared" si="23"/>
        <v>41056.611000000004</v>
      </c>
      <c r="X25" s="129">
        <f t="shared" si="24"/>
        <v>139.69343484747284</v>
      </c>
    </row>
    <row r="26" spans="1:27" s="73" customFormat="1" ht="23.25" x14ac:dyDescent="0.25">
      <c r="A26" s="55" t="s">
        <v>220</v>
      </c>
      <c r="B26" s="104" t="s">
        <v>7</v>
      </c>
      <c r="C26" s="177"/>
      <c r="D26" s="127">
        <f>139000+145000+28500+14000</f>
        <v>326500</v>
      </c>
      <c r="E26" s="127">
        <f>139000+145000+28500+14000</f>
        <v>326500</v>
      </c>
      <c r="F26" s="127">
        <f t="shared" si="15"/>
        <v>217983.57699999999</v>
      </c>
      <c r="G26" s="127">
        <v>22702.335999999999</v>
      </c>
      <c r="H26" s="127">
        <v>31099.1</v>
      </c>
      <c r="I26" s="127">
        <v>28599.886999999999</v>
      </c>
      <c r="J26" s="127">
        <v>26354.705000000002</v>
      </c>
      <c r="K26" s="127">
        <v>26764.896000000001</v>
      </c>
      <c r="L26" s="127">
        <v>25701.331999999999</v>
      </c>
      <c r="M26" s="127">
        <v>29575.839</v>
      </c>
      <c r="N26" s="127">
        <v>27185.482</v>
      </c>
      <c r="O26" s="127">
        <v>214555</v>
      </c>
      <c r="P26" s="127">
        <f t="shared" si="18"/>
        <v>3428.5769999999902</v>
      </c>
      <c r="Q26" s="113">
        <f t="shared" si="37"/>
        <v>101.5979944536366</v>
      </c>
      <c r="R26" s="127">
        <f t="shared" si="25"/>
        <v>217666.66666666666</v>
      </c>
      <c r="S26" s="127">
        <f t="shared" si="20"/>
        <v>316.91033333333326</v>
      </c>
      <c r="T26" s="113">
        <f t="shared" si="38"/>
        <v>100.1455943338438</v>
      </c>
      <c r="U26" s="113">
        <f t="shared" si="39"/>
        <v>66.763729555895864</v>
      </c>
      <c r="V26" s="127">
        <v>200645.09399999998</v>
      </c>
      <c r="W26" s="128">
        <f t="shared" si="23"/>
        <v>17338.483000000007</v>
      </c>
      <c r="X26" s="129">
        <f t="shared" si="24"/>
        <v>108.64136902345591</v>
      </c>
    </row>
    <row r="27" spans="1:27" s="73" customFormat="1" ht="23.25" x14ac:dyDescent="0.25">
      <c r="A27" s="55" t="s">
        <v>221</v>
      </c>
      <c r="B27" s="104" t="s">
        <v>58</v>
      </c>
      <c r="C27" s="177"/>
      <c r="D27" s="127">
        <f>1000+980.5</f>
        <v>1980.5</v>
      </c>
      <c r="E27" s="127">
        <f>1000+980.5</f>
        <v>1980.5</v>
      </c>
      <c r="F27" s="127">
        <f t="shared" si="15"/>
        <v>2263.2719999999995</v>
      </c>
      <c r="G27" s="127">
        <v>305.23899999999998</v>
      </c>
      <c r="H27" s="127">
        <v>303.30200000000002</v>
      </c>
      <c r="I27" s="127">
        <v>121.78100000000001</v>
      </c>
      <c r="J27" s="127">
        <v>300.91000000000003</v>
      </c>
      <c r="K27" s="127">
        <v>144.66300000000001</v>
      </c>
      <c r="L27" s="127">
        <v>300.26299999999998</v>
      </c>
      <c r="M27" s="127">
        <v>595.21100000000001</v>
      </c>
      <c r="N27" s="127">
        <v>191.90299999999999</v>
      </c>
      <c r="O27" s="127">
        <v>1952</v>
      </c>
      <c r="P27" s="127">
        <f t="shared" si="18"/>
        <v>311.27199999999948</v>
      </c>
      <c r="Q27" s="113">
        <f t="shared" si="37"/>
        <v>115.94631147540981</v>
      </c>
      <c r="R27" s="127">
        <f t="shared" si="25"/>
        <v>1320.3333333333333</v>
      </c>
      <c r="S27" s="127">
        <f t="shared" si="20"/>
        <v>942.93866666666622</v>
      </c>
      <c r="T27" s="113">
        <f t="shared" si="38"/>
        <v>171.41671295127489</v>
      </c>
      <c r="U27" s="113">
        <f t="shared" si="39"/>
        <v>114.27780863418326</v>
      </c>
      <c r="V27" s="127">
        <v>1373.46</v>
      </c>
      <c r="W27" s="128">
        <f t="shared" si="23"/>
        <v>889.81199999999944</v>
      </c>
      <c r="X27" s="129">
        <f t="shared" si="24"/>
        <v>164.78616049975969</v>
      </c>
      <c r="Y27" s="129">
        <f>100-X27</f>
        <v>-64.786160499759688</v>
      </c>
      <c r="Z27" s="74"/>
      <c r="AA27" s="75" t="e">
        <f>F25/#REF!*100</f>
        <v>#REF!</v>
      </c>
    </row>
    <row r="28" spans="1:27" s="77" customFormat="1" ht="23.25" x14ac:dyDescent="0.25">
      <c r="A28" s="55" t="s">
        <v>222</v>
      </c>
      <c r="B28" s="104" t="s">
        <v>40</v>
      </c>
      <c r="C28" s="76" t="s">
        <v>39</v>
      </c>
      <c r="D28" s="127">
        <v>2710</v>
      </c>
      <c r="E28" s="127">
        <v>2710</v>
      </c>
      <c r="F28" s="127">
        <f t="shared" si="15"/>
        <v>2099.346</v>
      </c>
      <c r="G28" s="127">
        <v>229.9</v>
      </c>
      <c r="H28" s="127">
        <v>363.15800000000002</v>
      </c>
      <c r="I28" s="127">
        <v>125.917</v>
      </c>
      <c r="J28" s="127">
        <v>263.55799999999999</v>
      </c>
      <c r="K28" s="127">
        <v>277.60500000000002</v>
      </c>
      <c r="L28" s="127">
        <v>148.494</v>
      </c>
      <c r="M28" s="127">
        <v>315.37200000000001</v>
      </c>
      <c r="N28" s="127">
        <v>375.34199999999998</v>
      </c>
      <c r="O28" s="127">
        <v>2094</v>
      </c>
      <c r="P28" s="127">
        <f t="shared" si="18"/>
        <v>5.3460000000000036</v>
      </c>
      <c r="Q28" s="113">
        <f t="shared" si="37"/>
        <v>100.25530085959886</v>
      </c>
      <c r="R28" s="127">
        <f t="shared" si="25"/>
        <v>1806.6666666666667</v>
      </c>
      <c r="S28" s="127">
        <f t="shared" si="20"/>
        <v>292.67933333333326</v>
      </c>
      <c r="T28" s="113">
        <f t="shared" si="38"/>
        <v>116.19996309963099</v>
      </c>
      <c r="U28" s="113">
        <f t="shared" si="39"/>
        <v>77.466642066420661</v>
      </c>
      <c r="V28" s="127">
        <v>1623.4929999999999</v>
      </c>
      <c r="W28" s="127">
        <f t="shared" si="23"/>
        <v>475.85300000000007</v>
      </c>
      <c r="X28" s="129">
        <f t="shared" si="24"/>
        <v>129.31044359291971</v>
      </c>
    </row>
    <row r="29" spans="1:27" s="73" customFormat="1" ht="23.25" x14ac:dyDescent="0.25">
      <c r="A29" s="55" t="s">
        <v>223</v>
      </c>
      <c r="B29" s="104" t="s">
        <v>33</v>
      </c>
      <c r="C29" s="142" t="s">
        <v>34</v>
      </c>
      <c r="D29" s="127">
        <v>1020500</v>
      </c>
      <c r="E29" s="127">
        <v>1039198.1139999999</v>
      </c>
      <c r="F29" s="127">
        <f t="shared" si="15"/>
        <v>779075.28599999996</v>
      </c>
      <c r="G29" s="127">
        <v>120081.224</v>
      </c>
      <c r="H29" s="127">
        <v>122172.81</v>
      </c>
      <c r="I29" s="127">
        <v>39888.777000000002</v>
      </c>
      <c r="J29" s="127">
        <v>115365.027</v>
      </c>
      <c r="K29" s="127">
        <v>105368.912</v>
      </c>
      <c r="L29" s="127">
        <v>37744.945</v>
      </c>
      <c r="M29" s="127">
        <v>125202.527</v>
      </c>
      <c r="N29" s="127">
        <v>113251.064</v>
      </c>
      <c r="O29" s="127">
        <v>746845.30200000003</v>
      </c>
      <c r="P29" s="127">
        <f t="shared" si="18"/>
        <v>32229.983999999939</v>
      </c>
      <c r="Q29" s="113">
        <f t="shared" si="37"/>
        <v>104.31548326188707</v>
      </c>
      <c r="R29" s="127">
        <f t="shared" si="25"/>
        <v>692798.74266666663</v>
      </c>
      <c r="S29" s="127">
        <f t="shared" si="20"/>
        <v>86276.543333333335</v>
      </c>
      <c r="T29" s="113">
        <f t="shared" si="38"/>
        <v>112.45333428309128</v>
      </c>
      <c r="U29" s="113">
        <f t="shared" si="39"/>
        <v>74.968889522060849</v>
      </c>
      <c r="V29" s="127">
        <v>564275.83700000006</v>
      </c>
      <c r="W29" s="128">
        <f t="shared" si="23"/>
        <v>214799.44899999991</v>
      </c>
      <c r="X29" s="129">
        <f t="shared" si="24"/>
        <v>138.06639145528393</v>
      </c>
      <c r="Z29" s="74"/>
      <c r="AA29" s="75" t="e">
        <f>F29/#REF!*100</f>
        <v>#REF!</v>
      </c>
    </row>
    <row r="30" spans="1:27" s="54" customFormat="1" ht="58.5" x14ac:dyDescent="0.25">
      <c r="A30" s="143">
        <v>7</v>
      </c>
      <c r="B30" s="59" t="s">
        <v>46</v>
      </c>
      <c r="C30" s="51" t="s">
        <v>17</v>
      </c>
      <c r="D30" s="126">
        <v>1900</v>
      </c>
      <c r="E30" s="126">
        <v>1900</v>
      </c>
      <c r="F30" s="126">
        <f t="shared" si="15"/>
        <v>2232.8469999999998</v>
      </c>
      <c r="G30" s="126">
        <v>73</v>
      </c>
      <c r="H30" s="126">
        <v>59.347000000000001</v>
      </c>
      <c r="I30" s="126">
        <v>643.04899999999998</v>
      </c>
      <c r="J30" s="126">
        <v>33.494</v>
      </c>
      <c r="K30" s="126">
        <v>727.42899999999997</v>
      </c>
      <c r="L30" s="126">
        <v>1.399</v>
      </c>
      <c r="M30" s="126">
        <v>20.167000000000002</v>
      </c>
      <c r="N30" s="126">
        <v>674.96199999999999</v>
      </c>
      <c r="O30" s="126">
        <v>1900</v>
      </c>
      <c r="P30" s="126">
        <f t="shared" si="18"/>
        <v>332.84699999999975</v>
      </c>
      <c r="Q30" s="112">
        <f t="shared" si="37"/>
        <v>117.51826315789474</v>
      </c>
      <c r="R30" s="126">
        <f t="shared" si="25"/>
        <v>1266.6666666666667</v>
      </c>
      <c r="S30" s="126">
        <f t="shared" si="20"/>
        <v>966.18033333333301</v>
      </c>
      <c r="T30" s="112">
        <f t="shared" si="38"/>
        <v>176.27739473684207</v>
      </c>
      <c r="U30" s="112">
        <f t="shared" si="39"/>
        <v>117.51826315789474</v>
      </c>
      <c r="V30" s="126">
        <v>1649.2429999999999</v>
      </c>
      <c r="W30" s="81">
        <f t="shared" si="23"/>
        <v>583.60399999999981</v>
      </c>
      <c r="X30" s="82">
        <f t="shared" si="24"/>
        <v>135.38617414171227</v>
      </c>
      <c r="Y30" s="53">
        <f>100-X30</f>
        <v>-35.386174141712274</v>
      </c>
    </row>
    <row r="31" spans="1:27" s="54" customFormat="1" ht="26.25" customHeight="1" x14ac:dyDescent="0.25">
      <c r="A31" s="143">
        <f t="shared" ref="A31:A39" si="41">A30+1</f>
        <v>8</v>
      </c>
      <c r="B31" s="59" t="s">
        <v>68</v>
      </c>
      <c r="C31" s="51" t="s">
        <v>67</v>
      </c>
      <c r="D31" s="126">
        <v>20000</v>
      </c>
      <c r="E31" s="126">
        <v>23000</v>
      </c>
      <c r="F31" s="126">
        <f t="shared" si="15"/>
        <v>23899.363999999998</v>
      </c>
      <c r="G31" s="126">
        <v>0</v>
      </c>
      <c r="H31" s="126">
        <v>750.99099999999999</v>
      </c>
      <c r="I31" s="126">
        <v>1015.678</v>
      </c>
      <c r="J31" s="126">
        <v>982.91399999999999</v>
      </c>
      <c r="K31" s="126">
        <v>1015.678</v>
      </c>
      <c r="L31" s="126">
        <v>18102.746999999999</v>
      </c>
      <c r="M31" s="126">
        <v>1015.678</v>
      </c>
      <c r="N31" s="126">
        <v>1015.678</v>
      </c>
      <c r="O31" s="126">
        <v>23000</v>
      </c>
      <c r="P31" s="126">
        <f t="shared" si="18"/>
        <v>899.36399999999776</v>
      </c>
      <c r="Q31" s="112">
        <f t="shared" si="37"/>
        <v>103.91027826086956</v>
      </c>
      <c r="R31" s="126">
        <f t="shared" si="25"/>
        <v>15333.333333333334</v>
      </c>
      <c r="S31" s="126">
        <f t="shared" si="20"/>
        <v>8566.0306666666638</v>
      </c>
      <c r="T31" s="112">
        <f t="shared" si="38"/>
        <v>155.86541739130433</v>
      </c>
      <c r="U31" s="112">
        <f t="shared" si="39"/>
        <v>103.91027826086956</v>
      </c>
      <c r="V31" s="126">
        <v>30343.200000000001</v>
      </c>
      <c r="W31" s="81">
        <f t="shared" si="23"/>
        <v>-6443.836000000003</v>
      </c>
      <c r="X31" s="82">
        <f t="shared" si="24"/>
        <v>78.763492314587765</v>
      </c>
    </row>
    <row r="32" spans="1:27" s="54" customFormat="1" ht="23.25" x14ac:dyDescent="0.25">
      <c r="A32" s="143">
        <f t="shared" si="41"/>
        <v>9</v>
      </c>
      <c r="B32" s="59" t="s">
        <v>8</v>
      </c>
      <c r="C32" s="51" t="s">
        <v>18</v>
      </c>
      <c r="D32" s="126">
        <v>500</v>
      </c>
      <c r="E32" s="126">
        <v>500</v>
      </c>
      <c r="F32" s="126">
        <f t="shared" si="15"/>
        <v>213.613</v>
      </c>
      <c r="G32" s="126">
        <v>0</v>
      </c>
      <c r="H32" s="126">
        <v>91.484999999999999</v>
      </c>
      <c r="I32" s="126">
        <v>0</v>
      </c>
      <c r="J32" s="126">
        <v>0</v>
      </c>
      <c r="K32" s="126">
        <v>122.128</v>
      </c>
      <c r="L32" s="126">
        <v>0</v>
      </c>
      <c r="M32" s="126">
        <v>0</v>
      </c>
      <c r="N32" s="126">
        <v>0</v>
      </c>
      <c r="O32" s="126">
        <v>211</v>
      </c>
      <c r="P32" s="126">
        <f t="shared" si="18"/>
        <v>2.6129999999999995</v>
      </c>
      <c r="Q32" s="112">
        <f t="shared" si="37"/>
        <v>101.23838862559242</v>
      </c>
      <c r="R32" s="126">
        <f t="shared" si="25"/>
        <v>333.33333333333331</v>
      </c>
      <c r="S32" s="126">
        <f t="shared" si="20"/>
        <v>-119.72033333333331</v>
      </c>
      <c r="T32" s="112">
        <f t="shared" si="38"/>
        <v>64.0839</v>
      </c>
      <c r="U32" s="112">
        <f t="shared" si="39"/>
        <v>42.7226</v>
      </c>
      <c r="V32" s="126">
        <v>845.92</v>
      </c>
      <c r="W32" s="81">
        <f t="shared" si="23"/>
        <v>-632.30700000000002</v>
      </c>
      <c r="X32" s="82">
        <f t="shared" si="24"/>
        <v>25.252151503688292</v>
      </c>
    </row>
    <row r="33" spans="1:26" s="54" customFormat="1" ht="78" x14ac:dyDescent="0.25">
      <c r="A33" s="143">
        <f t="shared" si="41"/>
        <v>10</v>
      </c>
      <c r="B33" s="107" t="s">
        <v>85</v>
      </c>
      <c r="C33" s="68" t="s">
        <v>86</v>
      </c>
      <c r="D33" s="126">
        <v>5</v>
      </c>
      <c r="E33" s="126">
        <v>18</v>
      </c>
      <c r="F33" s="126">
        <f t="shared" si="15"/>
        <v>9.0229999999999997</v>
      </c>
      <c r="G33" s="126">
        <v>0</v>
      </c>
      <c r="H33" s="126">
        <v>0.30599999999999999</v>
      </c>
      <c r="I33" s="126">
        <v>7.51</v>
      </c>
      <c r="J33" s="126">
        <v>3.2069999999999999</v>
      </c>
      <c r="K33" s="126">
        <v>5.258</v>
      </c>
      <c r="L33" s="126">
        <v>1</v>
      </c>
      <c r="M33" s="126">
        <v>-5</v>
      </c>
      <c r="N33" s="126">
        <v>-3.258</v>
      </c>
      <c r="O33" s="126">
        <v>9</v>
      </c>
      <c r="P33" s="126">
        <f t="shared" si="18"/>
        <v>2.2999999999999687E-2</v>
      </c>
      <c r="Q33" s="112">
        <f t="shared" si="37"/>
        <v>100.25555555555555</v>
      </c>
      <c r="R33" s="126">
        <f t="shared" si="25"/>
        <v>12</v>
      </c>
      <c r="S33" s="126">
        <f t="shared" si="20"/>
        <v>-2.9770000000000003</v>
      </c>
      <c r="T33" s="112">
        <f t="shared" si="38"/>
        <v>75.191666666666663</v>
      </c>
      <c r="U33" s="112">
        <f t="shared" si="39"/>
        <v>50.127777777777773</v>
      </c>
      <c r="V33" s="126">
        <v>-5.5400000000000009</v>
      </c>
      <c r="W33" s="81">
        <f t="shared" si="23"/>
        <v>14.563000000000001</v>
      </c>
      <c r="X33" s="82">
        <f t="shared" si="24"/>
        <v>-162.870036101083</v>
      </c>
    </row>
    <row r="34" spans="1:26" s="54" customFormat="1" ht="23.25" x14ac:dyDescent="0.25">
      <c r="A34" s="143">
        <f t="shared" si="41"/>
        <v>11</v>
      </c>
      <c r="B34" s="86" t="s">
        <v>30</v>
      </c>
      <c r="C34" s="51" t="s">
        <v>24</v>
      </c>
      <c r="D34" s="126">
        <v>16000</v>
      </c>
      <c r="E34" s="126">
        <v>16000</v>
      </c>
      <c r="F34" s="126">
        <f t="shared" si="15"/>
        <v>10229.713</v>
      </c>
      <c r="G34" s="126">
        <v>1249.509</v>
      </c>
      <c r="H34" s="126">
        <v>1180.684</v>
      </c>
      <c r="I34" s="126">
        <v>1380.37</v>
      </c>
      <c r="J34" s="126">
        <v>1302.2090000000001</v>
      </c>
      <c r="K34" s="126">
        <v>1416.192</v>
      </c>
      <c r="L34" s="126">
        <v>1073.499</v>
      </c>
      <c r="M34" s="126">
        <v>1172.2329999999999</v>
      </c>
      <c r="N34" s="126">
        <v>1455.0170000000001</v>
      </c>
      <c r="O34" s="126">
        <v>10160</v>
      </c>
      <c r="P34" s="126">
        <f t="shared" si="18"/>
        <v>69.712999999999738</v>
      </c>
      <c r="Q34" s="112">
        <f t="shared" si="37"/>
        <v>100.68615157480313</v>
      </c>
      <c r="R34" s="126">
        <f t="shared" si="25"/>
        <v>10666.666666666666</v>
      </c>
      <c r="S34" s="126">
        <f t="shared" si="20"/>
        <v>-436.95366666666632</v>
      </c>
      <c r="T34" s="112">
        <f t="shared" si="38"/>
        <v>95.903559375</v>
      </c>
      <c r="U34" s="112">
        <f t="shared" si="39"/>
        <v>63.935706250000003</v>
      </c>
      <c r="V34" s="126">
        <v>9432.3469999999998</v>
      </c>
      <c r="W34" s="81">
        <f t="shared" si="23"/>
        <v>797.36599999999999</v>
      </c>
      <c r="X34" s="82">
        <f t="shared" si="24"/>
        <v>108.4535269959852</v>
      </c>
      <c r="Y34" s="53">
        <f>100-X34</f>
        <v>-8.4535269959852002</v>
      </c>
    </row>
    <row r="35" spans="1:26" s="54" customFormat="1" ht="58.5" x14ac:dyDescent="0.25">
      <c r="A35" s="143">
        <f t="shared" si="41"/>
        <v>12</v>
      </c>
      <c r="B35" s="86" t="s">
        <v>78</v>
      </c>
      <c r="C35" s="51" t="s">
        <v>77</v>
      </c>
      <c r="D35" s="126">
        <v>760</v>
      </c>
      <c r="E35" s="126">
        <v>760</v>
      </c>
      <c r="F35" s="126">
        <f t="shared" si="15"/>
        <v>671.69799999999998</v>
      </c>
      <c r="G35" s="126">
        <v>6.8</v>
      </c>
      <c r="H35" s="126">
        <v>119</v>
      </c>
      <c r="I35" s="126">
        <v>106.8</v>
      </c>
      <c r="J35" s="126">
        <v>171.6</v>
      </c>
      <c r="K35" s="126">
        <v>88.4</v>
      </c>
      <c r="L35" s="126">
        <v>79.132999999999996</v>
      </c>
      <c r="M35" s="126">
        <v>84.064999999999998</v>
      </c>
      <c r="N35" s="126">
        <v>15.9</v>
      </c>
      <c r="O35" s="126">
        <v>656.6</v>
      </c>
      <c r="P35" s="126">
        <f t="shared" si="18"/>
        <v>15.097999999999956</v>
      </c>
      <c r="Q35" s="112">
        <f t="shared" si="37"/>
        <v>102.29942126104173</v>
      </c>
      <c r="R35" s="126">
        <f t="shared" si="25"/>
        <v>506.66666666666669</v>
      </c>
      <c r="S35" s="126">
        <f t="shared" si="20"/>
        <v>165.03133333333329</v>
      </c>
      <c r="T35" s="112">
        <f t="shared" si="38"/>
        <v>132.57197368421052</v>
      </c>
      <c r="U35" s="112">
        <f t="shared" si="39"/>
        <v>88.381315789473675</v>
      </c>
      <c r="V35" s="126">
        <v>592.76599999999996</v>
      </c>
      <c r="W35" s="81">
        <f t="shared" si="23"/>
        <v>78.932000000000016</v>
      </c>
      <c r="X35" s="82">
        <f t="shared" si="24"/>
        <v>113.31587844107118</v>
      </c>
    </row>
    <row r="36" spans="1:26" s="54" customFormat="1" ht="58.5" x14ac:dyDescent="0.25">
      <c r="A36" s="143">
        <f t="shared" si="41"/>
        <v>13</v>
      </c>
      <c r="B36" s="86" t="s">
        <v>163</v>
      </c>
      <c r="C36" s="51" t="s">
        <v>103</v>
      </c>
      <c r="D36" s="126">
        <v>21300</v>
      </c>
      <c r="E36" s="126">
        <v>21300</v>
      </c>
      <c r="F36" s="126">
        <f t="shared" si="15"/>
        <v>15918.395</v>
      </c>
      <c r="G36" s="126">
        <v>1536.7550000000001</v>
      </c>
      <c r="H36" s="126">
        <v>2469.8440000000001</v>
      </c>
      <c r="I36" s="126">
        <v>1780.732</v>
      </c>
      <c r="J36" s="126">
        <v>1746.1220000000001</v>
      </c>
      <c r="K36" s="126">
        <v>1764.364</v>
      </c>
      <c r="L36" s="126">
        <v>2096.0549999999998</v>
      </c>
      <c r="M36" s="126">
        <v>1877.1320000000001</v>
      </c>
      <c r="N36" s="126">
        <v>2647.3910000000001</v>
      </c>
      <c r="O36" s="126">
        <v>15525</v>
      </c>
      <c r="P36" s="126">
        <f t="shared" si="18"/>
        <v>393.39500000000044</v>
      </c>
      <c r="Q36" s="112">
        <f t="shared" si="37"/>
        <v>102.53394524959742</v>
      </c>
      <c r="R36" s="126">
        <f t="shared" si="25"/>
        <v>14200</v>
      </c>
      <c r="S36" s="126">
        <f t="shared" si="20"/>
        <v>1718.3950000000004</v>
      </c>
      <c r="T36" s="112">
        <f t="shared" si="38"/>
        <v>112.10137323943663</v>
      </c>
      <c r="U36" s="112">
        <f t="shared" si="39"/>
        <v>74.734248826291079</v>
      </c>
      <c r="V36" s="126">
        <v>13476.818000000001</v>
      </c>
      <c r="W36" s="81">
        <f t="shared" si="23"/>
        <v>2441.5769999999993</v>
      </c>
      <c r="X36" s="82">
        <f t="shared" si="24"/>
        <v>118.11686556871213</v>
      </c>
    </row>
    <row r="37" spans="1:26" s="54" customFormat="1" ht="58.5" x14ac:dyDescent="0.25">
      <c r="A37" s="143">
        <f>A36+1</f>
        <v>14</v>
      </c>
      <c r="B37" s="86" t="s">
        <v>132</v>
      </c>
      <c r="C37" s="51" t="s">
        <v>131</v>
      </c>
      <c r="D37" s="126">
        <v>3800</v>
      </c>
      <c r="E37" s="126">
        <v>3800</v>
      </c>
      <c r="F37" s="126">
        <f t="shared" si="15"/>
        <v>887.95500000000004</v>
      </c>
      <c r="G37" s="126">
        <v>143.596</v>
      </c>
      <c r="H37" s="126">
        <v>99.881</v>
      </c>
      <c r="I37" s="126">
        <v>91.864999999999995</v>
      </c>
      <c r="J37" s="126">
        <v>86.191000000000003</v>
      </c>
      <c r="K37" s="126">
        <v>116.09399999999999</v>
      </c>
      <c r="L37" s="126">
        <v>109.283</v>
      </c>
      <c r="M37" s="126">
        <v>107.58</v>
      </c>
      <c r="N37" s="126">
        <v>133.465</v>
      </c>
      <c r="O37" s="126">
        <v>876</v>
      </c>
      <c r="P37" s="126">
        <f t="shared" si="18"/>
        <v>11.955000000000041</v>
      </c>
      <c r="Q37" s="112">
        <f t="shared" si="37"/>
        <v>101.36472602739725</v>
      </c>
      <c r="R37" s="126">
        <f t="shared" si="25"/>
        <v>2533.3333333333335</v>
      </c>
      <c r="S37" s="126">
        <f t="shared" si="20"/>
        <v>-1645.3783333333336</v>
      </c>
      <c r="T37" s="112">
        <f t="shared" si="38"/>
        <v>35.050855263157892</v>
      </c>
      <c r="U37" s="112">
        <f t="shared" si="39"/>
        <v>23.367236842105264</v>
      </c>
      <c r="V37" s="126">
        <v>2442.0929999999998</v>
      </c>
      <c r="W37" s="81">
        <f t="shared" si="23"/>
        <v>-1554.1379999999999</v>
      </c>
      <c r="X37" s="82">
        <f t="shared" si="24"/>
        <v>36.360408878777349</v>
      </c>
    </row>
    <row r="38" spans="1:26" s="54" customFormat="1" ht="78" x14ac:dyDescent="0.25">
      <c r="A38" s="143">
        <f t="shared" si="41"/>
        <v>15</v>
      </c>
      <c r="B38" s="86" t="s">
        <v>124</v>
      </c>
      <c r="C38" s="51" t="s">
        <v>125</v>
      </c>
      <c r="D38" s="126">
        <v>50</v>
      </c>
      <c r="E38" s="126">
        <v>50</v>
      </c>
      <c r="F38" s="126">
        <f t="shared" si="15"/>
        <v>33.746000000000002</v>
      </c>
      <c r="G38" s="126">
        <v>3.55</v>
      </c>
      <c r="H38" s="126">
        <v>2.84</v>
      </c>
      <c r="I38" s="126">
        <v>6.39</v>
      </c>
      <c r="J38" s="126">
        <v>13.156000000000001</v>
      </c>
      <c r="K38" s="126">
        <v>4.97</v>
      </c>
      <c r="L38" s="126">
        <v>1.42</v>
      </c>
      <c r="M38" s="126">
        <v>0</v>
      </c>
      <c r="N38" s="126">
        <v>1.42</v>
      </c>
      <c r="O38" s="126">
        <v>33.700000000000003</v>
      </c>
      <c r="P38" s="126">
        <f t="shared" si="18"/>
        <v>4.5999999999999375E-2</v>
      </c>
      <c r="Q38" s="112">
        <f t="shared" si="37"/>
        <v>100.13649851632047</v>
      </c>
      <c r="R38" s="126">
        <f t="shared" si="25"/>
        <v>33.333333333333336</v>
      </c>
      <c r="S38" s="126">
        <f t="shared" si="20"/>
        <v>0.41266666666666652</v>
      </c>
      <c r="T38" s="112">
        <f t="shared" si="38"/>
        <v>101.238</v>
      </c>
      <c r="U38" s="112">
        <f t="shared" si="39"/>
        <v>67.492000000000004</v>
      </c>
      <c r="V38" s="126">
        <v>32.147999999999996</v>
      </c>
      <c r="W38" s="81">
        <f t="shared" si="23"/>
        <v>1.5980000000000061</v>
      </c>
      <c r="X38" s="82">
        <f t="shared" si="24"/>
        <v>104.97076023391816</v>
      </c>
    </row>
    <row r="39" spans="1:26" s="54" customFormat="1" ht="23.25" x14ac:dyDescent="0.25">
      <c r="A39" s="143">
        <f t="shared" si="41"/>
        <v>16</v>
      </c>
      <c r="B39" s="86" t="s">
        <v>80</v>
      </c>
      <c r="C39" s="51" t="s">
        <v>79</v>
      </c>
      <c r="D39" s="126">
        <f>SUM(D40:D43)</f>
        <v>40666</v>
      </c>
      <c r="E39" s="126">
        <f>SUM(E40:E43)</f>
        <v>40666</v>
      </c>
      <c r="F39" s="126">
        <f t="shared" si="15"/>
        <v>35377.103999999999</v>
      </c>
      <c r="G39" s="126">
        <f t="shared" ref="G39:O39" si="42">SUM(G40:G43)</f>
        <v>1954.4269999999999</v>
      </c>
      <c r="H39" s="126">
        <f t="shared" ref="H39:M39" si="43">SUM(H40:H43)</f>
        <v>5701.3409999999994</v>
      </c>
      <c r="I39" s="126">
        <f t="shared" si="43"/>
        <v>4601.5159999999996</v>
      </c>
      <c r="J39" s="126">
        <f t="shared" si="43"/>
        <v>4892.4530000000004</v>
      </c>
      <c r="K39" s="126">
        <f t="shared" si="43"/>
        <v>5089.2879999999996</v>
      </c>
      <c r="L39" s="126">
        <f t="shared" si="43"/>
        <v>4153.6120000000001</v>
      </c>
      <c r="M39" s="126">
        <f t="shared" si="43"/>
        <v>4694.567</v>
      </c>
      <c r="N39" s="126">
        <f t="shared" si="42"/>
        <v>4289.8999999999996</v>
      </c>
      <c r="O39" s="126">
        <f t="shared" si="42"/>
        <v>34344.199999999997</v>
      </c>
      <c r="P39" s="126">
        <f t="shared" si="18"/>
        <v>1032.9040000000023</v>
      </c>
      <c r="Q39" s="112">
        <f t="shared" si="37"/>
        <v>103.00750636206406</v>
      </c>
      <c r="R39" s="126">
        <f t="shared" si="25"/>
        <v>27110.666666666668</v>
      </c>
      <c r="S39" s="126">
        <f t="shared" si="20"/>
        <v>8266.4373333333315</v>
      </c>
      <c r="T39" s="112">
        <f t="shared" si="38"/>
        <v>130.49145723700389</v>
      </c>
      <c r="U39" s="112">
        <f t="shared" si="39"/>
        <v>86.994304824669257</v>
      </c>
      <c r="V39" s="126">
        <f t="shared" ref="V39" si="44">SUM(V40:V43)</f>
        <v>27106.380999999998</v>
      </c>
      <c r="W39" s="81">
        <f t="shared" si="23"/>
        <v>8270.7230000000018</v>
      </c>
      <c r="X39" s="82">
        <f t="shared" si="24"/>
        <v>130.51208864805673</v>
      </c>
    </row>
    <row r="40" spans="1:26" s="58" customFormat="1" ht="58.5" x14ac:dyDescent="0.25">
      <c r="A40" s="55" t="s">
        <v>224</v>
      </c>
      <c r="B40" s="87" t="s">
        <v>72</v>
      </c>
      <c r="C40" s="142" t="s">
        <v>71</v>
      </c>
      <c r="D40" s="127">
        <v>1700</v>
      </c>
      <c r="E40" s="127">
        <v>1700</v>
      </c>
      <c r="F40" s="127">
        <f t="shared" si="15"/>
        <v>939.61399999999992</v>
      </c>
      <c r="G40" s="127">
        <v>93.847999999999999</v>
      </c>
      <c r="H40" s="127">
        <v>135.93199999999999</v>
      </c>
      <c r="I40" s="127">
        <v>113.69199999999999</v>
      </c>
      <c r="J40" s="127">
        <v>143.21600000000001</v>
      </c>
      <c r="K40" s="127">
        <v>139.08600000000001</v>
      </c>
      <c r="L40" s="127">
        <v>100.502</v>
      </c>
      <c r="M40" s="127">
        <v>108.334</v>
      </c>
      <c r="N40" s="127">
        <v>105.004</v>
      </c>
      <c r="O40" s="127">
        <v>930</v>
      </c>
      <c r="P40" s="127">
        <f t="shared" si="18"/>
        <v>9.6139999999999191</v>
      </c>
      <c r="Q40" s="113">
        <f t="shared" si="37"/>
        <v>101.03376344086021</v>
      </c>
      <c r="R40" s="127">
        <f t="shared" si="25"/>
        <v>1133.3333333333333</v>
      </c>
      <c r="S40" s="127">
        <f t="shared" si="20"/>
        <v>-193.71933333333334</v>
      </c>
      <c r="T40" s="113">
        <f t="shared" si="38"/>
        <v>82.907117647058826</v>
      </c>
      <c r="U40" s="113">
        <f t="shared" si="39"/>
        <v>55.271411764705881</v>
      </c>
      <c r="V40" s="127">
        <v>1031.1480000000001</v>
      </c>
      <c r="W40" s="128">
        <f t="shared" si="23"/>
        <v>-91.534000000000219</v>
      </c>
      <c r="X40" s="129">
        <f t="shared" si="24"/>
        <v>91.123097751244217</v>
      </c>
      <c r="Y40" s="129">
        <f>X40-100</f>
        <v>-8.8769022487557834</v>
      </c>
      <c r="Z40" s="56"/>
    </row>
    <row r="41" spans="1:26" s="58" customFormat="1" ht="23.25" x14ac:dyDescent="0.25">
      <c r="A41" s="55" t="s">
        <v>225</v>
      </c>
      <c r="B41" s="88" t="s">
        <v>59</v>
      </c>
      <c r="C41" s="44" t="s">
        <v>60</v>
      </c>
      <c r="D41" s="127">
        <v>38000</v>
      </c>
      <c r="E41" s="127">
        <v>38000</v>
      </c>
      <c r="F41" s="127">
        <f t="shared" si="15"/>
        <v>33688.102999999996</v>
      </c>
      <c r="G41" s="127">
        <v>1766.579</v>
      </c>
      <c r="H41" s="127">
        <v>5454.4589999999998</v>
      </c>
      <c r="I41" s="127">
        <v>4360.1940000000004</v>
      </c>
      <c r="J41" s="127">
        <v>4659.3469999999998</v>
      </c>
      <c r="K41" s="127">
        <v>4863.9719999999998</v>
      </c>
      <c r="L41" s="127">
        <v>3955.6</v>
      </c>
      <c r="M41" s="127">
        <v>4507.473</v>
      </c>
      <c r="N41" s="127">
        <v>4120.4790000000003</v>
      </c>
      <c r="O41" s="127">
        <v>32685</v>
      </c>
      <c r="P41" s="127">
        <f t="shared" si="18"/>
        <v>1003.1029999999955</v>
      </c>
      <c r="Q41" s="113">
        <f t="shared" si="37"/>
        <v>103.0690010708276</v>
      </c>
      <c r="R41" s="127">
        <f t="shared" si="25"/>
        <v>25333.333333333332</v>
      </c>
      <c r="S41" s="127">
        <f t="shared" si="20"/>
        <v>8354.7696666666634</v>
      </c>
      <c r="T41" s="113">
        <f t="shared" si="38"/>
        <v>132.97935394736842</v>
      </c>
      <c r="U41" s="113">
        <f t="shared" si="39"/>
        <v>88.652902631578939</v>
      </c>
      <c r="V41" s="127">
        <v>25492.074999999997</v>
      </c>
      <c r="W41" s="128">
        <f t="shared" si="23"/>
        <v>8196.0279999999984</v>
      </c>
      <c r="X41" s="129">
        <f t="shared" si="24"/>
        <v>132.15127838749885</v>
      </c>
      <c r="Y41" s="129">
        <f>X41-100</f>
        <v>32.151278387498849</v>
      </c>
      <c r="Z41" s="57"/>
    </row>
    <row r="42" spans="1:26" s="58" customFormat="1" ht="39" x14ac:dyDescent="0.25">
      <c r="A42" s="55" t="s">
        <v>226</v>
      </c>
      <c r="B42" s="88" t="s">
        <v>76</v>
      </c>
      <c r="C42" s="44" t="s">
        <v>73</v>
      </c>
      <c r="D42" s="127">
        <v>850</v>
      </c>
      <c r="E42" s="127">
        <v>850</v>
      </c>
      <c r="F42" s="127">
        <f t="shared" si="15"/>
        <v>658.13699999999994</v>
      </c>
      <c r="G42" s="127">
        <v>90.97</v>
      </c>
      <c r="H42" s="127">
        <v>92.99</v>
      </c>
      <c r="I42" s="127">
        <v>106.73</v>
      </c>
      <c r="J42" s="127">
        <v>85.35</v>
      </c>
      <c r="K42" s="127">
        <v>78.66</v>
      </c>
      <c r="L42" s="127">
        <v>66.930000000000007</v>
      </c>
      <c r="M42" s="127">
        <v>75.12</v>
      </c>
      <c r="N42" s="127">
        <v>61.387</v>
      </c>
      <c r="O42" s="127">
        <v>638</v>
      </c>
      <c r="P42" s="127">
        <f t="shared" si="18"/>
        <v>20.136999999999944</v>
      </c>
      <c r="Q42" s="113">
        <f t="shared" si="37"/>
        <v>103.15626959247648</v>
      </c>
      <c r="R42" s="127">
        <f t="shared" si="25"/>
        <v>566.66666666666663</v>
      </c>
      <c r="S42" s="127">
        <f t="shared" si="20"/>
        <v>91.470333333333315</v>
      </c>
      <c r="T42" s="113">
        <f t="shared" si="38"/>
        <v>116.14182352941175</v>
      </c>
      <c r="U42" s="113">
        <f t="shared" si="39"/>
        <v>77.427882352941168</v>
      </c>
      <c r="V42" s="127">
        <v>494.43799999999999</v>
      </c>
      <c r="W42" s="128">
        <f t="shared" si="23"/>
        <v>163.69899999999996</v>
      </c>
      <c r="X42" s="129">
        <f t="shared" si="24"/>
        <v>133.10809444257924</v>
      </c>
    </row>
    <row r="43" spans="1:26" s="58" customFormat="1" ht="117" x14ac:dyDescent="0.25">
      <c r="A43" s="55" t="s">
        <v>227</v>
      </c>
      <c r="B43" s="89" t="s">
        <v>75</v>
      </c>
      <c r="C43" s="44" t="s">
        <v>74</v>
      </c>
      <c r="D43" s="127">
        <v>116</v>
      </c>
      <c r="E43" s="127">
        <v>116</v>
      </c>
      <c r="F43" s="127">
        <f t="shared" si="15"/>
        <v>91.25</v>
      </c>
      <c r="G43" s="127">
        <v>3.03</v>
      </c>
      <c r="H43" s="127">
        <v>17.96</v>
      </c>
      <c r="I43" s="127">
        <v>20.9</v>
      </c>
      <c r="J43" s="127">
        <v>4.54</v>
      </c>
      <c r="K43" s="127">
        <v>7.57</v>
      </c>
      <c r="L43" s="127">
        <v>30.58</v>
      </c>
      <c r="M43" s="127">
        <v>3.64</v>
      </c>
      <c r="N43" s="127">
        <v>3.03</v>
      </c>
      <c r="O43" s="127">
        <v>91.2</v>
      </c>
      <c r="P43" s="127">
        <f t="shared" si="18"/>
        <v>4.9999999999997158E-2</v>
      </c>
      <c r="Q43" s="113">
        <f t="shared" si="37"/>
        <v>100.05482456140351</v>
      </c>
      <c r="R43" s="127">
        <f t="shared" si="25"/>
        <v>77.333333333333329</v>
      </c>
      <c r="S43" s="127">
        <f t="shared" si="20"/>
        <v>13.916666666666671</v>
      </c>
      <c r="T43" s="113">
        <f t="shared" si="38"/>
        <v>117.99568965517241</v>
      </c>
      <c r="U43" s="113">
        <f t="shared" si="39"/>
        <v>78.66379310344827</v>
      </c>
      <c r="V43" s="127">
        <v>88.720000000000013</v>
      </c>
      <c r="W43" s="128">
        <f t="shared" si="23"/>
        <v>2.5299999999999869</v>
      </c>
      <c r="X43" s="129">
        <f t="shared" si="24"/>
        <v>102.85166816952207</v>
      </c>
    </row>
    <row r="44" spans="1:26" s="54" customFormat="1" ht="39" x14ac:dyDescent="0.25">
      <c r="A44" s="143">
        <v>17</v>
      </c>
      <c r="B44" s="107" t="s">
        <v>185</v>
      </c>
      <c r="C44" s="51" t="s">
        <v>184</v>
      </c>
      <c r="D44" s="126">
        <v>0</v>
      </c>
      <c r="E44" s="126">
        <v>5025</v>
      </c>
      <c r="F44" s="126">
        <f t="shared" si="15"/>
        <v>6030</v>
      </c>
      <c r="G44" s="126">
        <v>0</v>
      </c>
      <c r="H44" s="126">
        <v>0</v>
      </c>
      <c r="I44" s="126">
        <v>0</v>
      </c>
      <c r="J44" s="126">
        <v>0</v>
      </c>
      <c r="K44" s="126">
        <v>5025</v>
      </c>
      <c r="L44" s="126">
        <v>0</v>
      </c>
      <c r="M44" s="126">
        <v>1005</v>
      </c>
      <c r="N44" s="126">
        <v>0</v>
      </c>
      <c r="O44" s="126">
        <v>5025</v>
      </c>
      <c r="P44" s="126">
        <f t="shared" si="18"/>
        <v>1005</v>
      </c>
      <c r="Q44" s="112">
        <f t="shared" si="37"/>
        <v>120</v>
      </c>
      <c r="R44" s="126">
        <f t="shared" si="25"/>
        <v>3350</v>
      </c>
      <c r="S44" s="126">
        <f t="shared" si="20"/>
        <v>2680</v>
      </c>
      <c r="T44" s="112">
        <f t="shared" si="38"/>
        <v>180</v>
      </c>
      <c r="U44" s="112">
        <f t="shared" si="39"/>
        <v>120</v>
      </c>
      <c r="V44" s="126"/>
      <c r="W44" s="81">
        <f t="shared" si="23"/>
        <v>6030</v>
      </c>
      <c r="X44" s="82"/>
    </row>
    <row r="45" spans="1:26" s="54" customFormat="1" ht="58.5" x14ac:dyDescent="0.25">
      <c r="A45" s="143">
        <v>17</v>
      </c>
      <c r="B45" s="107" t="s">
        <v>35</v>
      </c>
      <c r="C45" s="51" t="s">
        <v>19</v>
      </c>
      <c r="D45" s="126">
        <v>12000</v>
      </c>
      <c r="E45" s="126">
        <v>12000</v>
      </c>
      <c r="F45" s="126">
        <f t="shared" si="15"/>
        <v>8098.674</v>
      </c>
      <c r="G45" s="126">
        <v>1306.3779999999999</v>
      </c>
      <c r="H45" s="126">
        <v>690.69200000000001</v>
      </c>
      <c r="I45" s="126">
        <v>857.34799999999996</v>
      </c>
      <c r="J45" s="126">
        <v>931.36300000000006</v>
      </c>
      <c r="K45" s="126">
        <v>778.18899999999996</v>
      </c>
      <c r="L45" s="126">
        <v>1007.052</v>
      </c>
      <c r="M45" s="126">
        <v>1005.325</v>
      </c>
      <c r="N45" s="126">
        <v>1522.327</v>
      </c>
      <c r="O45" s="126">
        <v>8092</v>
      </c>
      <c r="P45" s="126">
        <f t="shared" si="18"/>
        <v>6.6739999999999782</v>
      </c>
      <c r="Q45" s="112">
        <f t="shared" si="37"/>
        <v>100.08247652001978</v>
      </c>
      <c r="R45" s="126">
        <f t="shared" si="25"/>
        <v>8000</v>
      </c>
      <c r="S45" s="126">
        <f t="shared" si="20"/>
        <v>98.673999999999978</v>
      </c>
      <c r="T45" s="112">
        <f t="shared" si="38"/>
        <v>101.23342500000001</v>
      </c>
      <c r="U45" s="112">
        <f t="shared" si="39"/>
        <v>67.488950000000003</v>
      </c>
      <c r="V45" s="126">
        <v>11352.929999999998</v>
      </c>
      <c r="W45" s="81">
        <f t="shared" si="23"/>
        <v>-3254.2559999999985</v>
      </c>
      <c r="X45" s="82">
        <f t="shared" ref="X45:X50" si="45">F45/V45*100</f>
        <v>71.33554069301934</v>
      </c>
      <c r="Y45" s="54">
        <v>3831.8429999999998</v>
      </c>
    </row>
    <row r="46" spans="1:26" s="54" customFormat="1" ht="23.25" x14ac:dyDescent="0.25">
      <c r="A46" s="143">
        <f t="shared" ref="A46:A52" si="46">A45+1</f>
        <v>18</v>
      </c>
      <c r="B46" s="59" t="s">
        <v>54</v>
      </c>
      <c r="C46" s="51" t="s">
        <v>15</v>
      </c>
      <c r="D46" s="126">
        <v>590.10500000000002</v>
      </c>
      <c r="E46" s="126">
        <v>590.10500000000002</v>
      </c>
      <c r="F46" s="126">
        <f t="shared" si="15"/>
        <v>643.4899999999999</v>
      </c>
      <c r="G46" s="126">
        <v>41.896999999999998</v>
      </c>
      <c r="H46" s="126">
        <v>55.649000000000001</v>
      </c>
      <c r="I46" s="126">
        <v>129.727</v>
      </c>
      <c r="J46" s="126">
        <v>181.876</v>
      </c>
      <c r="K46" s="126">
        <v>68.260999999999996</v>
      </c>
      <c r="L46" s="126">
        <v>55.597999999999999</v>
      </c>
      <c r="M46" s="126">
        <v>67.914000000000001</v>
      </c>
      <c r="N46" s="126">
        <v>42.567999999999998</v>
      </c>
      <c r="O46" s="126">
        <v>545.96100000000001</v>
      </c>
      <c r="P46" s="126">
        <f t="shared" si="18"/>
        <v>97.528999999999883</v>
      </c>
      <c r="Q46" s="112">
        <f t="shared" si="37"/>
        <v>117.86373019318228</v>
      </c>
      <c r="R46" s="126">
        <f t="shared" si="25"/>
        <v>393.40333333333336</v>
      </c>
      <c r="S46" s="126">
        <f t="shared" si="20"/>
        <v>250.08666666666653</v>
      </c>
      <c r="T46" s="112">
        <f t="shared" si="38"/>
        <v>163.57004261953375</v>
      </c>
      <c r="U46" s="112">
        <f t="shared" si="39"/>
        <v>109.04669507968919</v>
      </c>
      <c r="V46" s="126">
        <v>640.74400000000003</v>
      </c>
      <c r="W46" s="81">
        <f t="shared" si="23"/>
        <v>2.7459999999998672</v>
      </c>
      <c r="X46" s="82">
        <f t="shared" si="45"/>
        <v>100.4285642940082</v>
      </c>
      <c r="Y46" s="53">
        <f>100-X46</f>
        <v>-0.42856429400819707</v>
      </c>
    </row>
    <row r="47" spans="1:26" s="54" customFormat="1" ht="97.5" x14ac:dyDescent="0.25">
      <c r="A47" s="143">
        <f t="shared" si="46"/>
        <v>19</v>
      </c>
      <c r="B47" s="59" t="s">
        <v>91</v>
      </c>
      <c r="C47" s="51" t="s">
        <v>90</v>
      </c>
      <c r="D47" s="126">
        <v>31</v>
      </c>
      <c r="E47" s="126">
        <v>31</v>
      </c>
      <c r="F47" s="126">
        <f t="shared" si="15"/>
        <v>14.675000000000001</v>
      </c>
      <c r="G47" s="126">
        <v>0.56399999999999995</v>
      </c>
      <c r="H47" s="126">
        <v>0</v>
      </c>
      <c r="I47" s="126">
        <v>6.2670000000000003</v>
      </c>
      <c r="J47" s="126">
        <v>0</v>
      </c>
      <c r="K47" s="126">
        <v>0</v>
      </c>
      <c r="L47" s="126">
        <v>0</v>
      </c>
      <c r="M47" s="126">
        <v>5.12</v>
      </c>
      <c r="N47" s="126">
        <v>2.7240000000000002</v>
      </c>
      <c r="O47" s="126">
        <v>14.26</v>
      </c>
      <c r="P47" s="126">
        <f t="shared" si="18"/>
        <v>0.41500000000000092</v>
      </c>
      <c r="Q47" s="112">
        <f t="shared" si="37"/>
        <v>102.91023842917251</v>
      </c>
      <c r="R47" s="126">
        <f t="shared" si="25"/>
        <v>20.666666666666668</v>
      </c>
      <c r="S47" s="126">
        <f t="shared" si="20"/>
        <v>-5.9916666666666671</v>
      </c>
      <c r="T47" s="112">
        <f t="shared" si="38"/>
        <v>71.008064516129039</v>
      </c>
      <c r="U47" s="112">
        <f t="shared" si="39"/>
        <v>47.338709677419352</v>
      </c>
      <c r="V47" s="126">
        <v>7.9710000000000001</v>
      </c>
      <c r="W47" s="81">
        <f t="shared" si="23"/>
        <v>6.7040000000000006</v>
      </c>
      <c r="X47" s="82">
        <f t="shared" si="45"/>
        <v>184.10488019069126</v>
      </c>
    </row>
    <row r="48" spans="1:26" s="54" customFormat="1" ht="30.75" customHeight="1" x14ac:dyDescent="0.25">
      <c r="A48" s="143">
        <f t="shared" si="46"/>
        <v>20</v>
      </c>
      <c r="B48" s="70" t="s">
        <v>61</v>
      </c>
      <c r="C48" s="30" t="s">
        <v>62</v>
      </c>
      <c r="D48" s="126">
        <v>500</v>
      </c>
      <c r="E48" s="126">
        <v>500</v>
      </c>
      <c r="F48" s="126">
        <f t="shared" si="15"/>
        <v>419.18799999999999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419.18799999999999</v>
      </c>
      <c r="M48" s="126">
        <v>0</v>
      </c>
      <c r="N48" s="126">
        <v>0</v>
      </c>
      <c r="O48" s="126">
        <v>419</v>
      </c>
      <c r="P48" s="126">
        <f t="shared" si="18"/>
        <v>0.18799999999998818</v>
      </c>
      <c r="Q48" s="112">
        <f t="shared" si="37"/>
        <v>100.04486873508354</v>
      </c>
      <c r="R48" s="126">
        <f t="shared" si="25"/>
        <v>333.33333333333331</v>
      </c>
      <c r="S48" s="126">
        <f t="shared" si="20"/>
        <v>85.854666666666674</v>
      </c>
      <c r="T48" s="112">
        <f t="shared" si="38"/>
        <v>125.75640000000001</v>
      </c>
      <c r="U48" s="112">
        <f t="shared" si="39"/>
        <v>83.837599999999995</v>
      </c>
      <c r="V48" s="126">
        <v>369.09899999999999</v>
      </c>
      <c r="W48" s="81">
        <f t="shared" si="23"/>
        <v>50.088999999999999</v>
      </c>
      <c r="X48" s="82">
        <f t="shared" si="45"/>
        <v>113.57061384614968</v>
      </c>
    </row>
    <row r="49" spans="1:31" s="54" customFormat="1" ht="23.25" x14ac:dyDescent="0.25">
      <c r="A49" s="143">
        <f t="shared" si="46"/>
        <v>21</v>
      </c>
      <c r="B49" s="59" t="s">
        <v>8</v>
      </c>
      <c r="C49" s="51" t="s">
        <v>20</v>
      </c>
      <c r="D49" s="126">
        <v>1700</v>
      </c>
      <c r="E49" s="126">
        <f>1700+2100</f>
        <v>3800</v>
      </c>
      <c r="F49" s="126">
        <f t="shared" si="15"/>
        <v>5912.48</v>
      </c>
      <c r="G49" s="126">
        <v>1390.5519999999999</v>
      </c>
      <c r="H49" s="126">
        <v>786.19399999999996</v>
      </c>
      <c r="I49" s="126">
        <v>844.37199999999996</v>
      </c>
      <c r="J49" s="126">
        <v>195.05799999999999</v>
      </c>
      <c r="K49" s="126">
        <v>280.65199999999999</v>
      </c>
      <c r="L49" s="126">
        <v>279.33</v>
      </c>
      <c r="M49" s="126">
        <v>1779.376</v>
      </c>
      <c r="N49" s="126">
        <v>356.94600000000003</v>
      </c>
      <c r="O49" s="126">
        <v>3800</v>
      </c>
      <c r="P49" s="126">
        <f t="shared" si="18"/>
        <v>2112.4799999999996</v>
      </c>
      <c r="Q49" s="112">
        <f>F49/O49*100</f>
        <v>155.59157894736842</v>
      </c>
      <c r="R49" s="126">
        <f t="shared" si="25"/>
        <v>2533.3333333333335</v>
      </c>
      <c r="S49" s="126">
        <f t="shared" si="20"/>
        <v>3379.1466666666661</v>
      </c>
      <c r="T49" s="112">
        <f t="shared" si="38"/>
        <v>233.3873684210526</v>
      </c>
      <c r="U49" s="112">
        <f t="shared" si="39"/>
        <v>155.59157894736842</v>
      </c>
      <c r="V49" s="126">
        <v>2682.2740000000003</v>
      </c>
      <c r="W49" s="81">
        <f t="shared" si="23"/>
        <v>3230.2059999999992</v>
      </c>
      <c r="X49" s="82">
        <f t="shared" si="45"/>
        <v>220.42789066292255</v>
      </c>
      <c r="AB49" s="54">
        <v>246438.04</v>
      </c>
    </row>
    <row r="50" spans="1:31" s="54" customFormat="1" ht="156" x14ac:dyDescent="0.25">
      <c r="A50" s="143">
        <f t="shared" si="46"/>
        <v>22</v>
      </c>
      <c r="B50" s="59" t="s">
        <v>53</v>
      </c>
      <c r="C50" s="51" t="s">
        <v>47</v>
      </c>
      <c r="D50" s="126">
        <v>2500</v>
      </c>
      <c r="E50" s="126">
        <v>2500</v>
      </c>
      <c r="F50" s="126">
        <f t="shared" si="15"/>
        <v>3054.4159999999997</v>
      </c>
      <c r="G50" s="126">
        <v>126.11199999999999</v>
      </c>
      <c r="H50" s="126">
        <v>857.42600000000004</v>
      </c>
      <c r="I50" s="126">
        <v>144.45400000000001</v>
      </c>
      <c r="J50" s="126">
        <v>246.708</v>
      </c>
      <c r="K50" s="126">
        <v>433.55799999999999</v>
      </c>
      <c r="L50" s="126">
        <v>398.62400000000002</v>
      </c>
      <c r="M50" s="126">
        <v>261.10399999999998</v>
      </c>
      <c r="N50" s="126">
        <v>586.42999999999995</v>
      </c>
      <c r="O50" s="126">
        <v>2500</v>
      </c>
      <c r="P50" s="126">
        <f t="shared" si="18"/>
        <v>554.41599999999971</v>
      </c>
      <c r="Q50" s="112">
        <f>F50/O50*100</f>
        <v>122.17663999999999</v>
      </c>
      <c r="R50" s="126">
        <f t="shared" si="25"/>
        <v>1666.6666666666667</v>
      </c>
      <c r="S50" s="126">
        <f t="shared" si="20"/>
        <v>1387.749333333333</v>
      </c>
      <c r="T50" s="112">
        <f t="shared" si="38"/>
        <v>183.26495999999997</v>
      </c>
      <c r="U50" s="112">
        <f t="shared" si="39"/>
        <v>122.17663999999999</v>
      </c>
      <c r="V50" s="126">
        <v>7815.94</v>
      </c>
      <c r="W50" s="81">
        <f t="shared" si="23"/>
        <v>-4761.5239999999994</v>
      </c>
      <c r="X50" s="82">
        <f t="shared" si="45"/>
        <v>39.079317394964647</v>
      </c>
    </row>
    <row r="51" spans="1:31" s="54" customFormat="1" ht="78" x14ac:dyDescent="0.25">
      <c r="A51" s="143">
        <f t="shared" si="46"/>
        <v>23</v>
      </c>
      <c r="B51" s="59" t="s">
        <v>116</v>
      </c>
      <c r="C51" s="51" t="s">
        <v>115</v>
      </c>
      <c r="D51" s="126">
        <v>0.25</v>
      </c>
      <c r="E51" s="126">
        <v>6.25</v>
      </c>
      <c r="F51" s="126">
        <f t="shared" si="15"/>
        <v>7.3230000000000004</v>
      </c>
      <c r="G51" s="126">
        <v>0</v>
      </c>
      <c r="H51" s="126">
        <v>0</v>
      </c>
      <c r="I51" s="126">
        <v>0</v>
      </c>
      <c r="J51" s="126">
        <v>0</v>
      </c>
      <c r="K51" s="126">
        <v>6.234</v>
      </c>
      <c r="L51" s="126">
        <v>1.089</v>
      </c>
      <c r="M51" s="126">
        <v>0</v>
      </c>
      <c r="N51" s="126">
        <v>0</v>
      </c>
      <c r="O51" s="126">
        <v>6.25</v>
      </c>
      <c r="P51" s="126">
        <f t="shared" si="18"/>
        <v>1.0730000000000004</v>
      </c>
      <c r="Q51" s="112">
        <f>F51/O51*100</f>
        <v>117.16800000000001</v>
      </c>
      <c r="R51" s="126">
        <f t="shared" si="25"/>
        <v>4.166666666666667</v>
      </c>
      <c r="S51" s="126">
        <f t="shared" si="20"/>
        <v>3.1563333333333334</v>
      </c>
      <c r="T51" s="112">
        <f t="shared" si="38"/>
        <v>175.75200000000001</v>
      </c>
      <c r="U51" s="112">
        <f t="shared" si="39"/>
        <v>117.16800000000001</v>
      </c>
      <c r="V51" s="126">
        <v>0</v>
      </c>
      <c r="W51" s="81">
        <f t="shared" si="23"/>
        <v>7.3230000000000004</v>
      </c>
      <c r="X51" s="82"/>
      <c r="Z51" s="52">
        <f>F53-F49</f>
        <v>3676665.1160000004</v>
      </c>
      <c r="AA51" s="52">
        <f>V53-V49</f>
        <v>3520347.1889999998</v>
      </c>
      <c r="AB51" s="53">
        <f>Z51/AA51</f>
        <v>1.0444041222662486</v>
      </c>
    </row>
    <row r="52" spans="1:31" s="54" customFormat="1" ht="39" x14ac:dyDescent="0.25">
      <c r="A52" s="143">
        <f t="shared" si="46"/>
        <v>24</v>
      </c>
      <c r="B52" s="59" t="s">
        <v>82</v>
      </c>
      <c r="C52" s="51" t="s">
        <v>81</v>
      </c>
      <c r="D52" s="126">
        <v>0.25</v>
      </c>
      <c r="E52" s="126">
        <v>0.25</v>
      </c>
      <c r="F52" s="126">
        <f t="shared" si="15"/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6">
        <v>0</v>
      </c>
      <c r="P52" s="126">
        <f t="shared" si="18"/>
        <v>0</v>
      </c>
      <c r="Q52" s="112"/>
      <c r="R52" s="126">
        <f t="shared" si="25"/>
        <v>0.16666666666666666</v>
      </c>
      <c r="S52" s="126">
        <f t="shared" si="20"/>
        <v>-0.16666666666666666</v>
      </c>
      <c r="T52" s="112">
        <f t="shared" si="38"/>
        <v>0</v>
      </c>
      <c r="U52" s="112">
        <f t="shared" si="39"/>
        <v>0</v>
      </c>
      <c r="V52" s="126">
        <v>0</v>
      </c>
      <c r="W52" s="81">
        <f t="shared" si="23"/>
        <v>0</v>
      </c>
      <c r="X52" s="82"/>
    </row>
    <row r="53" spans="1:31" s="151" customFormat="1" ht="30.75" customHeight="1" x14ac:dyDescent="0.3">
      <c r="A53" s="178" t="s">
        <v>148</v>
      </c>
      <c r="B53" s="178"/>
      <c r="C53" s="178"/>
      <c r="D53" s="148">
        <f>D7+D10+D11+D16+D24+D30+D31+D32+D33+D34+D35+D36+D39+D45+D46+D47+D48+D49+D50+D52+D51+D38+D37</f>
        <v>5219750.3770000003</v>
      </c>
      <c r="E53" s="148">
        <f>E7+E10+E11+E16+E24+E30+E31+E32+E33+E34+E35+E36+E39+E45+E46+E47+E48+E49+E50+E52+E51+E38+E37+E44+E23</f>
        <v>5376126.9850000003</v>
      </c>
      <c r="F53" s="148">
        <f t="shared" si="15"/>
        <v>3682577.5960000004</v>
      </c>
      <c r="G53" s="148">
        <f t="shared" ref="G53:N53" si="47">G7+G10+G11+G16+G24+G30+G31+G32+G33+G34+G35+G36+G39+G45+G46+G47+G48+G49+G50+G52+G51+G38+G37+G44+G23</f>
        <v>426745.84000000014</v>
      </c>
      <c r="H53" s="148">
        <f t="shared" si="47"/>
        <v>445489.51399999997</v>
      </c>
      <c r="I53" s="148">
        <f t="shared" si="47"/>
        <v>377705.67400000012</v>
      </c>
      <c r="J53" s="148">
        <f t="shared" si="47"/>
        <v>481176.41999999987</v>
      </c>
      <c r="K53" s="148">
        <f t="shared" si="47"/>
        <v>494993.17400000006</v>
      </c>
      <c r="L53" s="148">
        <f t="shared" si="47"/>
        <v>432875.951</v>
      </c>
      <c r="M53" s="148">
        <f t="shared" ref="M53" si="48">M7+M10+M11+M16+M24+M30+M31+M32+M33+M34+M35+M36+M39+M45+M46+M47+M48+M49+M50+M52+M51+M38+M37+M44+M23</f>
        <v>530329.65500000014</v>
      </c>
      <c r="N53" s="148">
        <f t="shared" si="47"/>
        <v>493261.36800000013</v>
      </c>
      <c r="O53" s="148">
        <f>O7+O10+O11+O16+O24+O30+O31+O32+O33+O34+O35+O36+O39+O45+O46+O47+O48+O49+O50+O52+O51+O38+O37+O44+O23</f>
        <v>3455682.3610000005</v>
      </c>
      <c r="P53" s="148">
        <f t="shared" si="18"/>
        <v>226895.23499999987</v>
      </c>
      <c r="Q53" s="149">
        <f>F53/O53*100</f>
        <v>106.56585910674792</v>
      </c>
      <c r="R53" s="148">
        <f>R7+R10+R11+R16+R24+R30+R31+R32+R33+R34+R35+R36+R39+R45+R46+R47+R48+R49+R50+R52+R51+R38+R37+R44+R23</f>
        <v>3584084.6566666667</v>
      </c>
      <c r="S53" s="148">
        <f t="shared" si="20"/>
        <v>98492.939333333634</v>
      </c>
      <c r="T53" s="149">
        <f t="shared" si="38"/>
        <v>102.74806397639435</v>
      </c>
      <c r="U53" s="149">
        <f t="shared" si="39"/>
        <v>68.498709317596223</v>
      </c>
      <c r="V53" s="148">
        <f>V7+V10+V11+V16+V24+V30+V31+V32+V33+V34+V35+V36+V39+V45+V46+V47+V48+V49+V50+V52+V51+V38+V23+V37</f>
        <v>3523029.463</v>
      </c>
      <c r="W53" s="60">
        <f t="shared" si="23"/>
        <v>159548.13300000038</v>
      </c>
      <c r="X53" s="61">
        <f>F53/V53*100</f>
        <v>104.52871980423741</v>
      </c>
      <c r="Y53" s="150">
        <v>3523029.4630000005</v>
      </c>
      <c r="Z53" s="150">
        <f>Y53-V53</f>
        <v>0</v>
      </c>
      <c r="AC53" s="150" t="e">
        <f>#REF!-#REF!-#REF!</f>
        <v>#REF!</v>
      </c>
      <c r="AE53" s="151">
        <v>294547.38299999997</v>
      </c>
    </row>
    <row r="54" spans="1:31" s="151" customFormat="1" ht="44.25" hidden="1" customHeight="1" x14ac:dyDescent="0.3">
      <c r="A54" s="178" t="s">
        <v>159</v>
      </c>
      <c r="B54" s="178"/>
      <c r="C54" s="178"/>
      <c r="D54" s="148">
        <f>D53</f>
        <v>5219750.3770000003</v>
      </c>
      <c r="E54" s="148">
        <f>E53</f>
        <v>5376126.9850000003</v>
      </c>
      <c r="F54" s="148">
        <f t="shared" si="15"/>
        <v>3682577.5960000004</v>
      </c>
      <c r="G54" s="148">
        <f t="shared" ref="G54:O54" si="49">G53</f>
        <v>426745.84000000014</v>
      </c>
      <c r="H54" s="148">
        <f t="shared" si="49"/>
        <v>445489.51399999997</v>
      </c>
      <c r="I54" s="148">
        <f t="shared" si="49"/>
        <v>377705.67400000012</v>
      </c>
      <c r="J54" s="148">
        <f t="shared" si="49"/>
        <v>481176.41999999987</v>
      </c>
      <c r="K54" s="148">
        <f t="shared" ref="K54:M54" si="50">K53</f>
        <v>494993.17400000006</v>
      </c>
      <c r="L54" s="148">
        <f t="shared" si="50"/>
        <v>432875.951</v>
      </c>
      <c r="M54" s="148">
        <f t="shared" si="50"/>
        <v>530329.65500000014</v>
      </c>
      <c r="N54" s="148">
        <f t="shared" si="49"/>
        <v>493261.36800000013</v>
      </c>
      <c r="O54" s="148">
        <f t="shared" si="49"/>
        <v>3455682.3610000005</v>
      </c>
      <c r="P54" s="148">
        <f t="shared" si="18"/>
        <v>226895.23499999987</v>
      </c>
      <c r="Q54" s="149">
        <f>F54/O54*100</f>
        <v>106.56585910674792</v>
      </c>
      <c r="R54" s="148">
        <f>R53</f>
        <v>3584084.6566666667</v>
      </c>
      <c r="S54" s="148">
        <f t="shared" si="20"/>
        <v>98492.939333333634</v>
      </c>
      <c r="T54" s="149">
        <f t="shared" si="38"/>
        <v>102.74806397639435</v>
      </c>
      <c r="U54" s="149">
        <f t="shared" si="39"/>
        <v>68.498709317596223</v>
      </c>
      <c r="V54" s="148">
        <f>V53-V8</f>
        <v>2945934.1150000002</v>
      </c>
      <c r="W54" s="60">
        <f t="shared" si="23"/>
        <v>736643.48100000015</v>
      </c>
      <c r="X54" s="61">
        <f>F54/V54*100</f>
        <v>125.00542959359429</v>
      </c>
      <c r="Y54" s="150"/>
      <c r="Z54" s="150"/>
      <c r="AC54" s="150"/>
    </row>
    <row r="55" spans="1:31" s="8" customFormat="1" ht="86.25" x14ac:dyDescent="0.25">
      <c r="A55" s="22">
        <v>1</v>
      </c>
      <c r="B55" s="137" t="s">
        <v>172</v>
      </c>
      <c r="C55" s="23" t="s">
        <v>173</v>
      </c>
      <c r="D55" s="83">
        <v>0</v>
      </c>
      <c r="E55" s="83">
        <v>0</v>
      </c>
      <c r="F55" s="126">
        <f t="shared" si="15"/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v>0</v>
      </c>
      <c r="O55" s="126">
        <v>0</v>
      </c>
      <c r="P55" s="126">
        <f t="shared" si="18"/>
        <v>0</v>
      </c>
      <c r="Q55" s="112"/>
      <c r="R55" s="126">
        <f>O55</f>
        <v>0</v>
      </c>
      <c r="S55" s="126">
        <f t="shared" si="20"/>
        <v>0</v>
      </c>
      <c r="T55" s="112"/>
      <c r="U55" s="112"/>
      <c r="V55" s="126">
        <v>7330.4000000000005</v>
      </c>
      <c r="W55" s="81">
        <f t="shared" si="23"/>
        <v>-7330.4000000000005</v>
      </c>
      <c r="X55" s="82">
        <f>F55/V55*100</f>
        <v>0</v>
      </c>
      <c r="Y55" s="33"/>
      <c r="Z55" s="33"/>
      <c r="AA55" s="33"/>
      <c r="AB55" s="35"/>
    </row>
    <row r="56" spans="1:31" s="8" customFormat="1" ht="69" x14ac:dyDescent="0.25">
      <c r="A56" s="22">
        <f>A55+1</f>
        <v>2</v>
      </c>
      <c r="B56" s="137" t="s">
        <v>215</v>
      </c>
      <c r="C56" s="23" t="s">
        <v>216</v>
      </c>
      <c r="D56" s="83"/>
      <c r="E56" s="83">
        <v>13474.3</v>
      </c>
      <c r="F56" s="126">
        <f t="shared" si="15"/>
        <v>13474.3</v>
      </c>
      <c r="G56" s="126"/>
      <c r="H56" s="126"/>
      <c r="I56" s="126"/>
      <c r="J56" s="126"/>
      <c r="K56" s="126"/>
      <c r="L56" s="126"/>
      <c r="M56" s="126"/>
      <c r="N56" s="126">
        <v>13474.3</v>
      </c>
      <c r="O56" s="126">
        <v>13474.3</v>
      </c>
      <c r="P56" s="126">
        <f t="shared" si="18"/>
        <v>0</v>
      </c>
      <c r="Q56" s="112">
        <f t="shared" ref="Q56" si="51">F56/O56*100</f>
        <v>100</v>
      </c>
      <c r="R56" s="126">
        <f>O56</f>
        <v>13474.3</v>
      </c>
      <c r="S56" s="126">
        <f t="shared" si="20"/>
        <v>0</v>
      </c>
      <c r="T56" s="112">
        <f t="shared" ref="T56" si="52">F56/R56*100</f>
        <v>100</v>
      </c>
      <c r="U56" s="112">
        <f t="shared" ref="U56" si="53">F56/E56*100</f>
        <v>100</v>
      </c>
      <c r="V56" s="126"/>
      <c r="W56" s="81">
        <f t="shared" ref="W56:W76" si="54">F56-V56</f>
        <v>13474.3</v>
      </c>
      <c r="X56" s="82"/>
      <c r="Y56" s="33"/>
      <c r="Z56" s="33"/>
      <c r="AA56" s="33"/>
      <c r="AB56" s="35"/>
    </row>
    <row r="57" spans="1:31" s="8" customFormat="1" ht="51.75" x14ac:dyDescent="0.25">
      <c r="A57" s="22">
        <f t="shared" ref="A57:A60" si="55">A56+1</f>
        <v>3</v>
      </c>
      <c r="B57" s="137" t="s">
        <v>189</v>
      </c>
      <c r="C57" s="23" t="s">
        <v>188</v>
      </c>
      <c r="D57" s="83">
        <v>0</v>
      </c>
      <c r="E57" s="83">
        <v>841</v>
      </c>
      <c r="F57" s="126">
        <f t="shared" si="15"/>
        <v>631.29999999999995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237.1</v>
      </c>
      <c r="M57" s="126">
        <v>197.1</v>
      </c>
      <c r="N57" s="126">
        <v>197.1</v>
      </c>
      <c r="O57" s="126">
        <v>631.29999999999995</v>
      </c>
      <c r="P57" s="126">
        <f t="shared" ref="P57:P66" si="56">F57-O57</f>
        <v>0</v>
      </c>
      <c r="Q57" s="112">
        <f t="shared" ref="Q57:Q66" si="57">F57/O57*100</f>
        <v>100</v>
      </c>
      <c r="R57" s="126">
        <f>O57</f>
        <v>631.29999999999995</v>
      </c>
      <c r="S57" s="126">
        <f t="shared" ref="S57:S76" si="58">F57-R57</f>
        <v>0</v>
      </c>
      <c r="T57" s="112">
        <f t="shared" ref="T57:T66" si="59">F57/R57*100</f>
        <v>100</v>
      </c>
      <c r="U57" s="112">
        <f t="shared" ref="U57:U66" si="60">F57/E57*100</f>
        <v>75.065398335315095</v>
      </c>
      <c r="V57" s="126">
        <v>0</v>
      </c>
      <c r="W57" s="81">
        <f t="shared" si="54"/>
        <v>631.29999999999995</v>
      </c>
      <c r="X57" s="82"/>
      <c r="Y57" s="33"/>
      <c r="Z57" s="33"/>
      <c r="AA57" s="33"/>
      <c r="AB57" s="35"/>
    </row>
    <row r="58" spans="1:31" s="8" customFormat="1" ht="23.25" x14ac:dyDescent="0.25">
      <c r="A58" s="22">
        <f t="shared" si="55"/>
        <v>4</v>
      </c>
      <c r="B58" s="137" t="s">
        <v>134</v>
      </c>
      <c r="C58" s="23" t="s">
        <v>55</v>
      </c>
      <c r="D58" s="83">
        <v>879086.1</v>
      </c>
      <c r="E58" s="83">
        <v>879086.1</v>
      </c>
      <c r="F58" s="126">
        <f t="shared" si="15"/>
        <v>567668.20000000007</v>
      </c>
      <c r="G58" s="126">
        <v>63808.4</v>
      </c>
      <c r="H58" s="126">
        <v>63802.3</v>
      </c>
      <c r="I58" s="126">
        <v>68537.3</v>
      </c>
      <c r="J58" s="126">
        <v>77227.5</v>
      </c>
      <c r="K58" s="126">
        <v>77274.399999999994</v>
      </c>
      <c r="L58" s="126">
        <v>167706.4</v>
      </c>
      <c r="M58" s="126">
        <v>24650.9</v>
      </c>
      <c r="N58" s="126">
        <v>24661</v>
      </c>
      <c r="O58" s="126">
        <v>567668.19999999995</v>
      </c>
      <c r="P58" s="126">
        <f t="shared" si="56"/>
        <v>0</v>
      </c>
      <c r="Q58" s="112">
        <f t="shared" si="57"/>
        <v>100.00000000000003</v>
      </c>
      <c r="R58" s="126">
        <f>O58</f>
        <v>567668.19999999995</v>
      </c>
      <c r="S58" s="126">
        <f t="shared" si="58"/>
        <v>0</v>
      </c>
      <c r="T58" s="112">
        <f t="shared" si="59"/>
        <v>100.00000000000003</v>
      </c>
      <c r="U58" s="112">
        <f t="shared" si="60"/>
        <v>64.574812410297483</v>
      </c>
      <c r="V58" s="126">
        <v>512601.50000000006</v>
      </c>
      <c r="W58" s="81">
        <f t="shared" si="54"/>
        <v>55066.700000000012</v>
      </c>
      <c r="X58" s="82">
        <f t="shared" ref="X58:X65" si="61">F58/V58*100</f>
        <v>110.74259439350061</v>
      </c>
      <c r="Y58" s="33"/>
      <c r="Z58" s="33"/>
      <c r="AA58" s="33"/>
      <c r="AB58" s="35"/>
    </row>
    <row r="59" spans="1:31" s="8" customFormat="1" ht="23.25" x14ac:dyDescent="0.25">
      <c r="A59" s="22">
        <f t="shared" si="55"/>
        <v>5</v>
      </c>
      <c r="B59" s="137" t="s">
        <v>165</v>
      </c>
      <c r="C59" s="23" t="s">
        <v>164</v>
      </c>
      <c r="D59" s="83">
        <v>0</v>
      </c>
      <c r="E59" s="83">
        <f>4050.597+372.448</f>
        <v>4423.0450000000001</v>
      </c>
      <c r="F59" s="126">
        <f t="shared" si="15"/>
        <v>4423.0439999999999</v>
      </c>
      <c r="G59" s="126">
        <v>0</v>
      </c>
      <c r="H59" s="126">
        <v>561.923</v>
      </c>
      <c r="I59" s="126">
        <v>0</v>
      </c>
      <c r="J59" s="126">
        <v>1564.171</v>
      </c>
      <c r="K59" s="126">
        <v>0</v>
      </c>
      <c r="L59" s="126">
        <v>730.01800000000003</v>
      </c>
      <c r="M59" s="126">
        <v>1194.4839999999999</v>
      </c>
      <c r="N59" s="126">
        <v>372.44799999999998</v>
      </c>
      <c r="O59" s="126">
        <v>4423.0439999999999</v>
      </c>
      <c r="P59" s="126">
        <f t="shared" si="56"/>
        <v>0</v>
      </c>
      <c r="Q59" s="112">
        <f t="shared" si="57"/>
        <v>100</v>
      </c>
      <c r="R59" s="126">
        <f>O59</f>
        <v>4423.0439999999999</v>
      </c>
      <c r="S59" s="126">
        <f t="shared" si="58"/>
        <v>0</v>
      </c>
      <c r="T59" s="112">
        <f t="shared" si="59"/>
        <v>100</v>
      </c>
      <c r="U59" s="112">
        <f t="shared" si="60"/>
        <v>99.999977391141172</v>
      </c>
      <c r="V59" s="126">
        <v>3201.0839999999998</v>
      </c>
      <c r="W59" s="81">
        <f t="shared" si="54"/>
        <v>1221.96</v>
      </c>
      <c r="X59" s="82">
        <f t="shared" si="61"/>
        <v>138.1733187882605</v>
      </c>
      <c r="Y59" s="33"/>
      <c r="Z59" s="33"/>
      <c r="AA59" s="33"/>
      <c r="AB59" s="35"/>
    </row>
    <row r="60" spans="1:31" s="8" customFormat="1" ht="277.5" customHeight="1" x14ac:dyDescent="0.25">
      <c r="A60" s="22">
        <f t="shared" si="55"/>
        <v>6</v>
      </c>
      <c r="B60" s="138" t="s">
        <v>195</v>
      </c>
      <c r="C60" s="93">
        <v>41050400</v>
      </c>
      <c r="D60" s="83">
        <v>0</v>
      </c>
      <c r="E60" s="83">
        <v>121536.639</v>
      </c>
      <c r="F60" s="126">
        <f t="shared" si="15"/>
        <v>121536.639</v>
      </c>
      <c r="G60" s="126"/>
      <c r="H60" s="126"/>
      <c r="I60" s="126"/>
      <c r="J60" s="126"/>
      <c r="K60" s="126"/>
      <c r="L60" s="126"/>
      <c r="M60" s="126">
        <v>76788.573000000004</v>
      </c>
      <c r="N60" s="126">
        <v>44748.065999999999</v>
      </c>
      <c r="O60" s="126">
        <v>121536.639</v>
      </c>
      <c r="P60" s="126">
        <f t="shared" si="56"/>
        <v>0</v>
      </c>
      <c r="Q60" s="112">
        <f t="shared" si="57"/>
        <v>100</v>
      </c>
      <c r="R60" s="126">
        <f t="shared" ref="R60:R62" si="62">O60</f>
        <v>121536.639</v>
      </c>
      <c r="S60" s="126">
        <f t="shared" si="58"/>
        <v>0</v>
      </c>
      <c r="T60" s="112">
        <f t="shared" si="59"/>
        <v>100</v>
      </c>
      <c r="U60" s="112">
        <f t="shared" si="60"/>
        <v>100</v>
      </c>
      <c r="V60" s="126">
        <v>25812.348999999998</v>
      </c>
      <c r="W60" s="81">
        <f t="shared" si="54"/>
        <v>95724.29</v>
      </c>
      <c r="X60" s="82">
        <f t="shared" si="61"/>
        <v>470.84687643112221</v>
      </c>
      <c r="Y60" s="33"/>
      <c r="Z60" s="33"/>
      <c r="AA60" s="33"/>
      <c r="AB60" s="35"/>
    </row>
    <row r="61" spans="1:31" s="8" customFormat="1" ht="189.75" x14ac:dyDescent="0.25">
      <c r="A61" s="22">
        <f t="shared" ref="A61:A68" si="63">A60+1</f>
        <v>7</v>
      </c>
      <c r="B61" s="138" t="s">
        <v>196</v>
      </c>
      <c r="C61" s="93">
        <v>41050500</v>
      </c>
      <c r="D61" s="83">
        <v>0</v>
      </c>
      <c r="E61" s="83">
        <v>6536.9610000000002</v>
      </c>
      <c r="F61" s="126">
        <f t="shared" si="15"/>
        <v>6536.9610000000002</v>
      </c>
      <c r="G61" s="126"/>
      <c r="H61" s="126"/>
      <c r="I61" s="126"/>
      <c r="J61" s="126"/>
      <c r="K61" s="126"/>
      <c r="L61" s="126"/>
      <c r="M61" s="126">
        <v>6536.9610000000002</v>
      </c>
      <c r="N61" s="126">
        <v>0</v>
      </c>
      <c r="O61" s="126">
        <v>6536.9610000000002</v>
      </c>
      <c r="P61" s="126">
        <f t="shared" si="56"/>
        <v>0</v>
      </c>
      <c r="Q61" s="112">
        <f t="shared" si="57"/>
        <v>100</v>
      </c>
      <c r="R61" s="126">
        <f t="shared" si="62"/>
        <v>6536.9610000000002</v>
      </c>
      <c r="S61" s="126">
        <f t="shared" si="58"/>
        <v>0</v>
      </c>
      <c r="T61" s="112">
        <f t="shared" si="59"/>
        <v>100</v>
      </c>
      <c r="U61" s="112">
        <f t="shared" si="60"/>
        <v>100</v>
      </c>
      <c r="V61" s="126">
        <v>9265.4719999999998</v>
      </c>
      <c r="W61" s="81">
        <f t="shared" si="54"/>
        <v>-2728.5109999999995</v>
      </c>
      <c r="X61" s="82">
        <f t="shared" si="61"/>
        <v>70.551840208464284</v>
      </c>
      <c r="Y61" s="33"/>
      <c r="Z61" s="33"/>
      <c r="AA61" s="33"/>
      <c r="AB61" s="35"/>
    </row>
    <row r="62" spans="1:31" s="8" customFormat="1" ht="276" x14ac:dyDescent="0.25">
      <c r="A62" s="22">
        <f t="shared" si="63"/>
        <v>8</v>
      </c>
      <c r="B62" s="138" t="s">
        <v>197</v>
      </c>
      <c r="C62" s="93">
        <v>41050600</v>
      </c>
      <c r="D62" s="83">
        <v>0</v>
      </c>
      <c r="E62" s="83">
        <v>27497.331999999999</v>
      </c>
      <c r="F62" s="126">
        <f t="shared" si="15"/>
        <v>18096.772000000001</v>
      </c>
      <c r="G62" s="126"/>
      <c r="H62" s="126"/>
      <c r="I62" s="126"/>
      <c r="J62" s="126"/>
      <c r="K62" s="126"/>
      <c r="L62" s="126"/>
      <c r="M62" s="126">
        <v>18096.772000000001</v>
      </c>
      <c r="N62" s="126">
        <v>0</v>
      </c>
      <c r="O62" s="126">
        <v>18096.772000000001</v>
      </c>
      <c r="P62" s="126">
        <f t="shared" si="56"/>
        <v>0</v>
      </c>
      <c r="Q62" s="112">
        <f t="shared" si="57"/>
        <v>100</v>
      </c>
      <c r="R62" s="126">
        <f t="shared" si="62"/>
        <v>18096.772000000001</v>
      </c>
      <c r="S62" s="126">
        <f t="shared" si="58"/>
        <v>0</v>
      </c>
      <c r="T62" s="112">
        <f t="shared" si="59"/>
        <v>100</v>
      </c>
      <c r="U62" s="112">
        <f t="shared" si="60"/>
        <v>65.812828677342225</v>
      </c>
      <c r="V62" s="126">
        <v>23144.884999999998</v>
      </c>
      <c r="W62" s="81">
        <f t="shared" si="54"/>
        <v>-5048.1129999999976</v>
      </c>
      <c r="X62" s="82">
        <f t="shared" si="61"/>
        <v>78.189077197834436</v>
      </c>
      <c r="Y62" s="33"/>
      <c r="Z62" s="33"/>
      <c r="AA62" s="33"/>
      <c r="AB62" s="35"/>
    </row>
    <row r="63" spans="1:31" s="8" customFormat="1" ht="34.5" x14ac:dyDescent="0.25">
      <c r="A63" s="22">
        <f t="shared" si="63"/>
        <v>9</v>
      </c>
      <c r="B63" s="138" t="s">
        <v>135</v>
      </c>
      <c r="C63" s="93" t="s">
        <v>112</v>
      </c>
      <c r="D63" s="83">
        <v>23435.05</v>
      </c>
      <c r="E63" s="83">
        <v>23435.05</v>
      </c>
      <c r="F63" s="126">
        <f t="shared" si="15"/>
        <v>15132.94</v>
      </c>
      <c r="G63" s="126">
        <v>1701.0619999999999</v>
      </c>
      <c r="H63" s="126">
        <v>1700.758</v>
      </c>
      <c r="I63" s="126">
        <v>1827.075</v>
      </c>
      <c r="J63" s="126">
        <v>2058.7849999999999</v>
      </c>
      <c r="K63" s="126">
        <v>2059.9450000000002</v>
      </c>
      <c r="L63" s="126">
        <v>4470.8270000000002</v>
      </c>
      <c r="M63" s="126">
        <v>657.11400000000003</v>
      </c>
      <c r="N63" s="126">
        <v>657.37400000000002</v>
      </c>
      <c r="O63" s="126">
        <v>15132.94</v>
      </c>
      <c r="P63" s="126">
        <f t="shared" si="56"/>
        <v>0</v>
      </c>
      <c r="Q63" s="112">
        <f t="shared" si="57"/>
        <v>100</v>
      </c>
      <c r="R63" s="126">
        <f t="shared" ref="R63:R71" si="64">O63</f>
        <v>15132.94</v>
      </c>
      <c r="S63" s="126">
        <f t="shared" si="58"/>
        <v>0</v>
      </c>
      <c r="T63" s="112">
        <f t="shared" si="59"/>
        <v>100</v>
      </c>
      <c r="U63" s="112">
        <f t="shared" si="60"/>
        <v>64.573960798035429</v>
      </c>
      <c r="V63" s="126">
        <v>12026.433999999999</v>
      </c>
      <c r="W63" s="81">
        <f t="shared" si="54"/>
        <v>3106.5060000000012</v>
      </c>
      <c r="X63" s="82">
        <f t="shared" si="61"/>
        <v>125.83064938451416</v>
      </c>
    </row>
    <row r="64" spans="1:31" s="8" customFormat="1" ht="51.75" x14ac:dyDescent="0.25">
      <c r="A64" s="22">
        <f t="shared" si="63"/>
        <v>10</v>
      </c>
      <c r="B64" s="138" t="s">
        <v>136</v>
      </c>
      <c r="C64" s="93">
        <v>41051200</v>
      </c>
      <c r="D64" s="83">
        <v>0</v>
      </c>
      <c r="E64" s="83">
        <v>2257.1999999999998</v>
      </c>
      <c r="F64" s="126">
        <f t="shared" si="15"/>
        <v>2257.1999999999998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1977.5</v>
      </c>
      <c r="N64" s="126">
        <v>279.7</v>
      </c>
      <c r="O64" s="126">
        <v>2257.1999999999998</v>
      </c>
      <c r="P64" s="126">
        <f t="shared" si="56"/>
        <v>0</v>
      </c>
      <c r="Q64" s="112">
        <f t="shared" si="57"/>
        <v>100</v>
      </c>
      <c r="R64" s="126">
        <f t="shared" ref="R64:R67" si="65">O64</f>
        <v>2257.1999999999998</v>
      </c>
      <c r="S64" s="126">
        <f t="shared" si="58"/>
        <v>0</v>
      </c>
      <c r="T64" s="112">
        <f t="shared" si="59"/>
        <v>100</v>
      </c>
      <c r="U64" s="112">
        <f t="shared" si="60"/>
        <v>100</v>
      </c>
      <c r="V64" s="126">
        <v>1742.5440000000001</v>
      </c>
      <c r="W64" s="81">
        <f t="shared" si="54"/>
        <v>514.65599999999972</v>
      </c>
      <c r="X64" s="82">
        <f t="shared" si="61"/>
        <v>129.53474919428146</v>
      </c>
    </row>
    <row r="65" spans="1:26" s="8" customFormat="1" ht="51.75" x14ac:dyDescent="0.25">
      <c r="A65" s="22">
        <f t="shared" si="63"/>
        <v>11</v>
      </c>
      <c r="B65" s="138" t="s">
        <v>174</v>
      </c>
      <c r="C65" s="93" t="s">
        <v>175</v>
      </c>
      <c r="D65" s="83">
        <v>0</v>
      </c>
      <c r="E65" s="83">
        <v>755.755</v>
      </c>
      <c r="F65" s="126">
        <f t="shared" si="15"/>
        <v>755.755</v>
      </c>
      <c r="G65" s="126">
        <v>0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755.755</v>
      </c>
      <c r="N65" s="126">
        <v>0</v>
      </c>
      <c r="O65" s="126">
        <v>755.755</v>
      </c>
      <c r="P65" s="126">
        <f t="shared" si="56"/>
        <v>0</v>
      </c>
      <c r="Q65" s="112">
        <f t="shared" si="57"/>
        <v>100</v>
      </c>
      <c r="R65" s="126">
        <f t="shared" si="65"/>
        <v>755.755</v>
      </c>
      <c r="S65" s="126">
        <f t="shared" si="58"/>
        <v>0</v>
      </c>
      <c r="T65" s="112">
        <f t="shared" si="59"/>
        <v>100</v>
      </c>
      <c r="U65" s="112">
        <f t="shared" si="60"/>
        <v>100</v>
      </c>
      <c r="V65" s="126">
        <v>2073.1129999999998</v>
      </c>
      <c r="W65" s="81">
        <f t="shared" si="54"/>
        <v>-1317.3579999999997</v>
      </c>
      <c r="X65" s="82">
        <f t="shared" si="61"/>
        <v>36.455079872635984</v>
      </c>
    </row>
    <row r="66" spans="1:26" s="8" customFormat="1" ht="51.75" x14ac:dyDescent="0.25">
      <c r="A66" s="22">
        <f t="shared" si="63"/>
        <v>12</v>
      </c>
      <c r="B66" s="138" t="s">
        <v>183</v>
      </c>
      <c r="C66" s="93">
        <v>41057700</v>
      </c>
      <c r="D66" s="83">
        <v>0</v>
      </c>
      <c r="E66" s="83">
        <v>51.972000000000001</v>
      </c>
      <c r="F66" s="126">
        <f t="shared" si="15"/>
        <v>51.972000000000001</v>
      </c>
      <c r="G66" s="126">
        <v>0</v>
      </c>
      <c r="H66" s="126">
        <v>0</v>
      </c>
      <c r="I66" s="126">
        <v>0</v>
      </c>
      <c r="J66" s="126">
        <v>20.788</v>
      </c>
      <c r="K66" s="126">
        <v>10.395</v>
      </c>
      <c r="L66" s="126">
        <v>10.395</v>
      </c>
      <c r="M66" s="126">
        <v>10.394</v>
      </c>
      <c r="N66" s="126">
        <v>0</v>
      </c>
      <c r="O66" s="126">
        <v>51.972000000000001</v>
      </c>
      <c r="P66" s="126">
        <f t="shared" si="56"/>
        <v>0</v>
      </c>
      <c r="Q66" s="112">
        <f t="shared" si="57"/>
        <v>100</v>
      </c>
      <c r="R66" s="126">
        <f t="shared" si="65"/>
        <v>51.972000000000001</v>
      </c>
      <c r="S66" s="126">
        <f t="shared" si="58"/>
        <v>0</v>
      </c>
      <c r="T66" s="112">
        <f t="shared" si="59"/>
        <v>100</v>
      </c>
      <c r="U66" s="112">
        <f t="shared" si="60"/>
        <v>100</v>
      </c>
      <c r="V66" s="126">
        <v>0</v>
      </c>
      <c r="W66" s="81">
        <f t="shared" si="54"/>
        <v>51.972000000000001</v>
      </c>
      <c r="X66" s="82"/>
    </row>
    <row r="67" spans="1:26" s="8" customFormat="1" ht="51.75" x14ac:dyDescent="0.25">
      <c r="A67" s="22">
        <f t="shared" si="63"/>
        <v>13</v>
      </c>
      <c r="B67" s="138" t="s">
        <v>198</v>
      </c>
      <c r="C67" s="93" t="s">
        <v>199</v>
      </c>
      <c r="D67" s="83">
        <v>0</v>
      </c>
      <c r="E67" s="83">
        <v>0</v>
      </c>
      <c r="F67" s="126">
        <f t="shared" si="15"/>
        <v>0</v>
      </c>
      <c r="G67" s="126">
        <v>0</v>
      </c>
      <c r="H67" s="126">
        <v>0</v>
      </c>
      <c r="I67" s="126">
        <v>0</v>
      </c>
      <c r="J67" s="126">
        <v>0</v>
      </c>
      <c r="K67" s="126">
        <v>0</v>
      </c>
      <c r="L67" s="126">
        <v>0</v>
      </c>
      <c r="M67" s="126">
        <v>0</v>
      </c>
      <c r="N67" s="126">
        <v>0</v>
      </c>
      <c r="O67" s="126"/>
      <c r="P67" s="126"/>
      <c r="Q67" s="112"/>
      <c r="R67" s="126">
        <f t="shared" si="65"/>
        <v>0</v>
      </c>
      <c r="S67" s="126">
        <f t="shared" si="58"/>
        <v>0</v>
      </c>
      <c r="T67" s="112"/>
      <c r="U67" s="112"/>
      <c r="V67" s="126">
        <v>3588.8999999999996</v>
      </c>
      <c r="W67" s="81">
        <f t="shared" si="54"/>
        <v>-3588.8999999999996</v>
      </c>
      <c r="X67" s="82"/>
    </row>
    <row r="68" spans="1:26" s="8" customFormat="1" ht="23.25" x14ac:dyDescent="0.25">
      <c r="A68" s="22">
        <f t="shared" si="63"/>
        <v>14</v>
      </c>
      <c r="B68" s="139" t="s">
        <v>137</v>
      </c>
      <c r="C68" s="93" t="s">
        <v>104</v>
      </c>
      <c r="D68" s="83">
        <f>SUM(D69:D75)</f>
        <v>1982.317</v>
      </c>
      <c r="E68" s="83">
        <f>SUM(E69:E75)</f>
        <v>2624.3649999999998</v>
      </c>
      <c r="F68" s="126">
        <f t="shared" si="15"/>
        <v>1652.7750000000001</v>
      </c>
      <c r="G68" s="126">
        <f t="shared" ref="G68:O68" si="66">SUM(G69:G75)</f>
        <v>0</v>
      </c>
      <c r="H68" s="126">
        <f t="shared" si="66"/>
        <v>129.971</v>
      </c>
      <c r="I68" s="126">
        <f t="shared" si="66"/>
        <v>331.63199999999995</v>
      </c>
      <c r="J68" s="126">
        <f t="shared" si="66"/>
        <v>289.63200000000001</v>
      </c>
      <c r="K68" s="126">
        <f t="shared" ref="K68" si="67">SUM(K69:K75)</f>
        <v>207.55799999999999</v>
      </c>
      <c r="L68" s="126">
        <f>SUM(L69:L75)</f>
        <v>226.85399999999998</v>
      </c>
      <c r="M68" s="126">
        <f>SUM(M69:M75)</f>
        <v>369.83200000000005</v>
      </c>
      <c r="N68" s="126">
        <f>SUM(N69:N75)</f>
        <v>97.296000000000006</v>
      </c>
      <c r="O68" s="126">
        <f t="shared" si="66"/>
        <v>1891.1889999999999</v>
      </c>
      <c r="P68" s="126">
        <f t="shared" ref="P68:P76" si="68">F68-O68</f>
        <v>-238.41399999999976</v>
      </c>
      <c r="Q68" s="112">
        <f>F68/O68*100</f>
        <v>87.393433443193686</v>
      </c>
      <c r="R68" s="126">
        <f t="shared" si="64"/>
        <v>1891.1889999999999</v>
      </c>
      <c r="S68" s="126">
        <f t="shared" si="58"/>
        <v>-238.41399999999976</v>
      </c>
      <c r="T68" s="112">
        <f>F68/R68*100</f>
        <v>87.393433443193686</v>
      </c>
      <c r="U68" s="112">
        <f>F68/E68*100</f>
        <v>62.978091843169693</v>
      </c>
      <c r="V68" s="126">
        <f>SUM(V69:V75)</f>
        <v>4461.1130000000003</v>
      </c>
      <c r="W68" s="81">
        <f t="shared" si="54"/>
        <v>-2808.3380000000002</v>
      </c>
      <c r="X68" s="82">
        <f>F68/V68*100</f>
        <v>37.048489917202275</v>
      </c>
      <c r="Y68" s="126"/>
      <c r="Z68" s="126"/>
    </row>
    <row r="69" spans="1:26" s="124" customFormat="1" ht="33" x14ac:dyDescent="0.25">
      <c r="A69" s="123" t="s">
        <v>200</v>
      </c>
      <c r="B69" s="194" t="s">
        <v>138</v>
      </c>
      <c r="C69" s="125"/>
      <c r="D69" s="130">
        <v>105</v>
      </c>
      <c r="E69" s="130">
        <v>105</v>
      </c>
      <c r="F69" s="127">
        <f t="shared" si="15"/>
        <v>14.141</v>
      </c>
      <c r="G69" s="127">
        <v>0</v>
      </c>
      <c r="H69" s="127">
        <v>3.7240000000000002</v>
      </c>
      <c r="I69" s="127">
        <v>0</v>
      </c>
      <c r="J69" s="127">
        <v>0</v>
      </c>
      <c r="K69" s="127">
        <v>0</v>
      </c>
      <c r="L69" s="127">
        <v>2.9689999999999999</v>
      </c>
      <c r="M69" s="127">
        <v>7.4480000000000004</v>
      </c>
      <c r="N69" s="127">
        <v>0</v>
      </c>
      <c r="O69" s="127">
        <v>69.888000000000005</v>
      </c>
      <c r="P69" s="127">
        <f t="shared" si="68"/>
        <v>-55.747000000000007</v>
      </c>
      <c r="Q69" s="113">
        <f>F69/O69*100</f>
        <v>20.233802655677653</v>
      </c>
      <c r="R69" s="127">
        <f t="shared" si="64"/>
        <v>69.888000000000005</v>
      </c>
      <c r="S69" s="127">
        <f t="shared" si="58"/>
        <v>-55.747000000000007</v>
      </c>
      <c r="T69" s="113">
        <f>F69/R69*100</f>
        <v>20.233802655677653</v>
      </c>
      <c r="U69" s="113">
        <f>F69/E69*100</f>
        <v>13.467619047619047</v>
      </c>
      <c r="V69" s="127">
        <v>19.766000000000002</v>
      </c>
      <c r="W69" s="128">
        <f t="shared" si="54"/>
        <v>-5.6250000000000018</v>
      </c>
      <c r="X69" s="129">
        <f>F69/V69*100</f>
        <v>71.542041890114334</v>
      </c>
    </row>
    <row r="70" spans="1:26" s="124" customFormat="1" ht="33" x14ac:dyDescent="0.25">
      <c r="A70" s="123" t="s">
        <v>201</v>
      </c>
      <c r="B70" s="194" t="s">
        <v>139</v>
      </c>
      <c r="C70" s="125"/>
      <c r="D70" s="130">
        <v>1246.7</v>
      </c>
      <c r="E70" s="130">
        <v>1246.7</v>
      </c>
      <c r="F70" s="127">
        <f t="shared" si="15"/>
        <v>665.04100000000005</v>
      </c>
      <c r="G70" s="127">
        <v>0</v>
      </c>
      <c r="H70" s="127">
        <v>58.584000000000003</v>
      </c>
      <c r="I70" s="127">
        <v>65.713999999999999</v>
      </c>
      <c r="J70" s="127">
        <v>117.73099999999999</v>
      </c>
      <c r="K70" s="127">
        <v>139.89500000000001</v>
      </c>
      <c r="L70" s="127">
        <v>138.642</v>
      </c>
      <c r="M70" s="127">
        <v>47.179000000000002</v>
      </c>
      <c r="N70" s="127">
        <v>97.296000000000006</v>
      </c>
      <c r="O70" s="127">
        <v>665.04100000000005</v>
      </c>
      <c r="P70" s="127">
        <f t="shared" si="68"/>
        <v>0</v>
      </c>
      <c r="Q70" s="113">
        <f>F70/O70*100</f>
        <v>100</v>
      </c>
      <c r="R70" s="127">
        <f t="shared" si="64"/>
        <v>665.04100000000005</v>
      </c>
      <c r="S70" s="127">
        <f t="shared" si="58"/>
        <v>0</v>
      </c>
      <c r="T70" s="113">
        <f>F70/R70*100</f>
        <v>100</v>
      </c>
      <c r="U70" s="113">
        <f>F70/E70*100</f>
        <v>53.344108446298236</v>
      </c>
      <c r="V70" s="127">
        <v>928.57499999999993</v>
      </c>
      <c r="W70" s="128">
        <f t="shared" si="54"/>
        <v>-263.53399999999988</v>
      </c>
      <c r="X70" s="129">
        <f>F70/V70*100</f>
        <v>71.619524540290229</v>
      </c>
    </row>
    <row r="71" spans="1:26" s="124" customFormat="1" ht="49.5" x14ac:dyDescent="0.25">
      <c r="A71" s="123" t="s">
        <v>202</v>
      </c>
      <c r="B71" s="194" t="s">
        <v>140</v>
      </c>
      <c r="C71" s="125"/>
      <c r="D71" s="130">
        <v>292.3</v>
      </c>
      <c r="E71" s="130">
        <v>292.3</v>
      </c>
      <c r="F71" s="127">
        <f t="shared" si="15"/>
        <v>146.136</v>
      </c>
      <c r="G71" s="127">
        <v>0</v>
      </c>
      <c r="H71" s="127">
        <v>0</v>
      </c>
      <c r="I71" s="127">
        <v>146.136</v>
      </c>
      <c r="J71" s="127">
        <v>0</v>
      </c>
      <c r="K71" s="127">
        <v>0</v>
      </c>
      <c r="L71" s="127">
        <v>0</v>
      </c>
      <c r="M71" s="127">
        <v>0</v>
      </c>
      <c r="N71" s="127">
        <v>0</v>
      </c>
      <c r="O71" s="127">
        <v>243.56</v>
      </c>
      <c r="P71" s="127">
        <f t="shared" si="68"/>
        <v>-97.424000000000007</v>
      </c>
      <c r="Q71" s="113">
        <f>F71/O71*100</f>
        <v>60</v>
      </c>
      <c r="R71" s="127">
        <f t="shared" si="64"/>
        <v>243.56</v>
      </c>
      <c r="S71" s="127">
        <f t="shared" si="58"/>
        <v>-97.424000000000007</v>
      </c>
      <c r="T71" s="113">
        <f>F71/R71*100</f>
        <v>60</v>
      </c>
      <c r="U71" s="113">
        <f>F71/E71*100</f>
        <v>49.995210400273685</v>
      </c>
      <c r="V71" s="127">
        <v>146.136</v>
      </c>
      <c r="W71" s="128">
        <f t="shared" si="54"/>
        <v>0</v>
      </c>
      <c r="X71" s="129">
        <f>F71/V71*100</f>
        <v>100</v>
      </c>
    </row>
    <row r="72" spans="1:26" s="124" customFormat="1" ht="49.5" x14ac:dyDescent="0.25">
      <c r="A72" s="123" t="s">
        <v>203</v>
      </c>
      <c r="B72" s="194" t="s">
        <v>182</v>
      </c>
      <c r="C72" s="125"/>
      <c r="D72" s="130">
        <v>0</v>
      </c>
      <c r="E72" s="130">
        <v>0</v>
      </c>
      <c r="F72" s="127">
        <f t="shared" si="15"/>
        <v>0</v>
      </c>
      <c r="G72" s="127">
        <v>0</v>
      </c>
      <c r="H72" s="127">
        <v>0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127">
        <v>0</v>
      </c>
      <c r="O72" s="127">
        <v>0</v>
      </c>
      <c r="P72" s="127">
        <f t="shared" si="68"/>
        <v>0</v>
      </c>
      <c r="Q72" s="113"/>
      <c r="R72" s="127">
        <f t="shared" ref="R72" si="69">O72</f>
        <v>0</v>
      </c>
      <c r="S72" s="127">
        <f t="shared" si="58"/>
        <v>0</v>
      </c>
      <c r="T72" s="113"/>
      <c r="U72" s="113"/>
      <c r="V72" s="127">
        <v>2500.0000000000005</v>
      </c>
      <c r="W72" s="128">
        <f t="shared" si="54"/>
        <v>-2500.0000000000005</v>
      </c>
      <c r="X72" s="129"/>
    </row>
    <row r="73" spans="1:26" s="124" customFormat="1" ht="49.5" x14ac:dyDescent="0.25">
      <c r="A73" s="123" t="s">
        <v>204</v>
      </c>
      <c r="B73" s="194" t="s">
        <v>150</v>
      </c>
      <c r="C73" s="125"/>
      <c r="D73" s="130">
        <v>338.31700000000001</v>
      </c>
      <c r="E73" s="130">
        <v>338.31700000000001</v>
      </c>
      <c r="F73" s="127">
        <f>SUM(G73:N73)</f>
        <v>270.65199999999999</v>
      </c>
      <c r="G73" s="127">
        <v>0</v>
      </c>
      <c r="H73" s="127">
        <v>67.662999999999997</v>
      </c>
      <c r="I73" s="127">
        <v>67.662999999999997</v>
      </c>
      <c r="J73" s="127">
        <v>67.662999999999997</v>
      </c>
      <c r="K73" s="127">
        <v>67.662999999999997</v>
      </c>
      <c r="L73" s="127">
        <v>0</v>
      </c>
      <c r="M73" s="127">
        <v>0</v>
      </c>
      <c r="N73" s="127">
        <v>0</v>
      </c>
      <c r="O73" s="127">
        <v>270.65199999999999</v>
      </c>
      <c r="P73" s="127">
        <f t="shared" si="68"/>
        <v>0</v>
      </c>
      <c r="Q73" s="113">
        <f>F73/O73*100</f>
        <v>100</v>
      </c>
      <c r="R73" s="127">
        <f>O73</f>
        <v>270.65199999999999</v>
      </c>
      <c r="S73" s="127">
        <f t="shared" si="58"/>
        <v>0</v>
      </c>
      <c r="T73" s="113">
        <f>F73/R73*100</f>
        <v>100</v>
      </c>
      <c r="U73" s="113">
        <f>F73/E73*100</f>
        <v>79.999527070764984</v>
      </c>
      <c r="V73" s="127">
        <v>0</v>
      </c>
      <c r="W73" s="128">
        <f t="shared" si="54"/>
        <v>270.65199999999999</v>
      </c>
      <c r="X73" s="129"/>
    </row>
    <row r="74" spans="1:26" s="124" customFormat="1" ht="49.5" x14ac:dyDescent="0.25">
      <c r="A74" s="123" t="s">
        <v>205</v>
      </c>
      <c r="B74" s="194" t="s">
        <v>177</v>
      </c>
      <c r="C74" s="125"/>
      <c r="D74" s="130">
        <v>0</v>
      </c>
      <c r="E74" s="130">
        <f>156.357+263.086+52.119</f>
        <v>471.56200000000001</v>
      </c>
      <c r="F74" s="127">
        <f t="shared" ref="F74:F75" si="70">SUM(G74:N74)</f>
        <v>471.56200000000001</v>
      </c>
      <c r="G74" s="127">
        <v>0</v>
      </c>
      <c r="H74" s="127">
        <v>0</v>
      </c>
      <c r="I74" s="127">
        <v>52.119</v>
      </c>
      <c r="J74" s="127">
        <f>52.119+52.119</f>
        <v>104.238</v>
      </c>
      <c r="K74" s="127">
        <v>0</v>
      </c>
      <c r="L74" s="127">
        <v>0</v>
      </c>
      <c r="M74" s="127">
        <f>263.086+52.119</f>
        <v>315.20500000000004</v>
      </c>
      <c r="N74" s="127"/>
      <c r="O74" s="127">
        <v>471.56200000000001</v>
      </c>
      <c r="P74" s="127">
        <f t="shared" si="68"/>
        <v>0</v>
      </c>
      <c r="Q74" s="113">
        <f>F74/O74*100</f>
        <v>100</v>
      </c>
      <c r="R74" s="127">
        <f>O74</f>
        <v>471.56200000000001</v>
      </c>
      <c r="S74" s="127">
        <f t="shared" si="58"/>
        <v>0</v>
      </c>
      <c r="T74" s="113">
        <f>F74/R74*100</f>
        <v>100</v>
      </c>
      <c r="U74" s="113">
        <f>F74/E74*100</f>
        <v>100</v>
      </c>
      <c r="V74" s="127">
        <v>866.63599999999997</v>
      </c>
      <c r="W74" s="128">
        <f t="shared" si="54"/>
        <v>-395.07399999999996</v>
      </c>
      <c r="X74" s="129">
        <f>F74/V74*100</f>
        <v>54.41292538043654</v>
      </c>
    </row>
    <row r="75" spans="1:26" s="124" customFormat="1" ht="82.5" x14ac:dyDescent="0.25">
      <c r="A75" s="123" t="s">
        <v>206</v>
      </c>
      <c r="B75" s="194" t="s">
        <v>178</v>
      </c>
      <c r="C75" s="125"/>
      <c r="D75" s="130">
        <v>0</v>
      </c>
      <c r="E75" s="130">
        <v>170.48599999999999</v>
      </c>
      <c r="F75" s="127">
        <f t="shared" si="70"/>
        <v>85.242999999999995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85.242999999999995</v>
      </c>
      <c r="M75" s="127"/>
      <c r="N75" s="127"/>
      <c r="O75" s="127">
        <v>170.48599999999999</v>
      </c>
      <c r="P75" s="127">
        <f t="shared" si="68"/>
        <v>-85.242999999999995</v>
      </c>
      <c r="Q75" s="113">
        <f>F75/O75*100</f>
        <v>50</v>
      </c>
      <c r="R75" s="127">
        <f t="shared" ref="R75" si="71">O75</f>
        <v>170.48599999999999</v>
      </c>
      <c r="S75" s="127">
        <f t="shared" si="58"/>
        <v>-85.242999999999995</v>
      </c>
      <c r="T75" s="113">
        <f>F75/R75*100</f>
        <v>50</v>
      </c>
      <c r="U75" s="113">
        <f>F75/E75*100</f>
        <v>50</v>
      </c>
      <c r="V75" s="127">
        <v>0</v>
      </c>
      <c r="W75" s="128">
        <f t="shared" si="54"/>
        <v>85.242999999999995</v>
      </c>
      <c r="X75" s="129"/>
    </row>
    <row r="76" spans="1:26" s="38" customFormat="1" ht="22.5" x14ac:dyDescent="0.3">
      <c r="A76" s="187"/>
      <c r="B76" s="39" t="s">
        <v>29</v>
      </c>
      <c r="C76" s="188"/>
      <c r="D76" s="37">
        <f>D80+D79+D78</f>
        <v>904503.46699999995</v>
      </c>
      <c r="E76" s="37">
        <f>E80+E79+E78</f>
        <v>1082519.719</v>
      </c>
      <c r="F76" s="37">
        <f t="shared" si="15"/>
        <v>752217.85800000001</v>
      </c>
      <c r="G76" s="37">
        <f t="shared" ref="G76:N76" si="72">G80+G79+G78</f>
        <v>65509.462</v>
      </c>
      <c r="H76" s="37">
        <f t="shared" ref="H76:M76" si="73">H80+H79+H78</f>
        <v>66194.952000000005</v>
      </c>
      <c r="I76" s="37">
        <f t="shared" si="73"/>
        <v>70696.006999999998</v>
      </c>
      <c r="J76" s="37">
        <f t="shared" si="73"/>
        <v>81160.876000000004</v>
      </c>
      <c r="K76" s="37">
        <f t="shared" si="73"/>
        <v>79552.297999999995</v>
      </c>
      <c r="L76" s="37">
        <f t="shared" si="73"/>
        <v>173381.59400000001</v>
      </c>
      <c r="M76" s="37">
        <f t="shared" si="73"/>
        <v>131235.38500000001</v>
      </c>
      <c r="N76" s="37">
        <f t="shared" si="72"/>
        <v>84487.283999999985</v>
      </c>
      <c r="O76" s="37">
        <f>O80+O79+O78</f>
        <v>752456.27200000011</v>
      </c>
      <c r="P76" s="37">
        <f t="shared" si="68"/>
        <v>-238.41400000010617</v>
      </c>
      <c r="Q76" s="110">
        <f>F76/O76*100</f>
        <v>99.968315235200791</v>
      </c>
      <c r="R76" s="37">
        <f>R80+R79+R78</f>
        <v>603272.94500000007</v>
      </c>
      <c r="S76" s="37">
        <f t="shared" si="58"/>
        <v>148944.91299999994</v>
      </c>
      <c r="T76" s="110">
        <f>F76/R76*100</f>
        <v>124.68947335272924</v>
      </c>
      <c r="U76" s="110">
        <f>F76/E76*100</f>
        <v>69.487681822080503</v>
      </c>
      <c r="V76" s="37">
        <f>V80+V79+V78</f>
        <v>605247.79400000011</v>
      </c>
      <c r="W76" s="60">
        <f t="shared" si="54"/>
        <v>146970.0639999999</v>
      </c>
      <c r="X76" s="61">
        <f>F76/V76*100</f>
        <v>124.28262695989272</v>
      </c>
    </row>
    <row r="77" spans="1:26" s="11" customFormat="1" ht="23.25" x14ac:dyDescent="0.25">
      <c r="A77" s="10"/>
      <c r="B77" s="105" t="s">
        <v>92</v>
      </c>
      <c r="C77" s="9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114"/>
      <c r="R77" s="84"/>
      <c r="S77" s="84"/>
      <c r="T77" s="114"/>
      <c r="U77" s="114"/>
      <c r="V77" s="84"/>
      <c r="W77" s="60"/>
      <c r="X77" s="61"/>
    </row>
    <row r="78" spans="1:26" s="11" customFormat="1" ht="22.5" x14ac:dyDescent="0.25">
      <c r="A78" s="10"/>
      <c r="B78" s="95" t="s">
        <v>133</v>
      </c>
      <c r="C78" s="24"/>
      <c r="D78" s="37"/>
      <c r="E78" s="37"/>
      <c r="F78" s="37">
        <f t="shared" si="15"/>
        <v>0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110"/>
      <c r="R78" s="37"/>
      <c r="S78" s="37">
        <f>F78-R78</f>
        <v>0</v>
      </c>
      <c r="T78" s="110"/>
      <c r="U78" s="110"/>
      <c r="V78" s="37">
        <f>V55</f>
        <v>7330.4000000000005</v>
      </c>
      <c r="W78" s="60">
        <f>F78-V78</f>
        <v>-7330.4000000000005</v>
      </c>
      <c r="X78" s="61">
        <f>F78/V78*100</f>
        <v>0</v>
      </c>
    </row>
    <row r="79" spans="1:26" s="11" customFormat="1" ht="22.5" x14ac:dyDescent="0.25">
      <c r="A79" s="10"/>
      <c r="B79" s="95" t="s">
        <v>105</v>
      </c>
      <c r="C79" s="24"/>
      <c r="D79" s="37">
        <f>D59</f>
        <v>0</v>
      </c>
      <c r="E79" s="37">
        <f>E59</f>
        <v>4423.0450000000001</v>
      </c>
      <c r="F79" s="37">
        <f t="shared" si="15"/>
        <v>4423.0439999999999</v>
      </c>
      <c r="G79" s="37">
        <f t="shared" ref="G79:O79" si="74">G59</f>
        <v>0</v>
      </c>
      <c r="H79" s="37">
        <f t="shared" si="74"/>
        <v>561.923</v>
      </c>
      <c r="I79" s="37">
        <f t="shared" si="74"/>
        <v>0</v>
      </c>
      <c r="J79" s="37">
        <f t="shared" si="74"/>
        <v>1564.171</v>
      </c>
      <c r="K79" s="37">
        <f t="shared" si="74"/>
        <v>0</v>
      </c>
      <c r="L79" s="37">
        <f t="shared" ref="L79:M79" si="75">L59</f>
        <v>730.01800000000003</v>
      </c>
      <c r="M79" s="37">
        <f t="shared" si="75"/>
        <v>1194.4839999999999</v>
      </c>
      <c r="N79" s="37">
        <f t="shared" si="74"/>
        <v>372.44799999999998</v>
      </c>
      <c r="O79" s="37">
        <f t="shared" si="74"/>
        <v>4423.0439999999999</v>
      </c>
      <c r="P79" s="37">
        <f>F79-O79</f>
        <v>0</v>
      </c>
      <c r="Q79" s="110">
        <f>F79/O79*100</f>
        <v>100</v>
      </c>
      <c r="R79" s="37">
        <f>R59</f>
        <v>4423.0439999999999</v>
      </c>
      <c r="S79" s="37">
        <f>F79-R79</f>
        <v>0</v>
      </c>
      <c r="T79" s="110">
        <f>F79/R79*100</f>
        <v>100</v>
      </c>
      <c r="U79" s="110">
        <f>F79/E79*100</f>
        <v>99.999977391141172</v>
      </c>
      <c r="V79" s="37">
        <f>V59</f>
        <v>3201.0839999999998</v>
      </c>
      <c r="W79" s="60">
        <f>F79-V79</f>
        <v>1221.96</v>
      </c>
      <c r="X79" s="61">
        <f>F79/V79*100</f>
        <v>138.1733187882605</v>
      </c>
    </row>
    <row r="80" spans="1:26" s="11" customFormat="1" ht="22.5" x14ac:dyDescent="0.25">
      <c r="A80" s="10"/>
      <c r="B80" s="95" t="s">
        <v>70</v>
      </c>
      <c r="C80" s="24"/>
      <c r="D80" s="37">
        <f>D81+D82</f>
        <v>904503.46699999995</v>
      </c>
      <c r="E80" s="37">
        <f>E81+E82</f>
        <v>1078096.6740000001</v>
      </c>
      <c r="F80" s="37">
        <f t="shared" si="15"/>
        <v>747794.81400000013</v>
      </c>
      <c r="G80" s="37">
        <f>G81+G82</f>
        <v>65509.462</v>
      </c>
      <c r="H80" s="37">
        <f t="shared" ref="H80:M80" si="76">H81+H82</f>
        <v>65633.02900000001</v>
      </c>
      <c r="I80" s="37">
        <f t="shared" si="76"/>
        <v>70696.006999999998</v>
      </c>
      <c r="J80" s="37">
        <f t="shared" si="76"/>
        <v>79596.705000000002</v>
      </c>
      <c r="K80" s="37">
        <f t="shared" si="76"/>
        <v>79552.297999999995</v>
      </c>
      <c r="L80" s="37">
        <f t="shared" si="76"/>
        <v>172651.576</v>
      </c>
      <c r="M80" s="37">
        <f t="shared" si="76"/>
        <v>130040.90100000001</v>
      </c>
      <c r="N80" s="37">
        <f t="shared" ref="N80:O80" si="77">N81+N82</f>
        <v>84114.835999999981</v>
      </c>
      <c r="O80" s="37">
        <f t="shared" si="77"/>
        <v>748033.22800000012</v>
      </c>
      <c r="P80" s="37">
        <f>F80-O80</f>
        <v>-238.41399999998976</v>
      </c>
      <c r="Q80" s="110">
        <f>F80/O80*100</f>
        <v>99.968127886425933</v>
      </c>
      <c r="R80" s="37">
        <f t="shared" ref="R80" si="78">R81+R82</f>
        <v>598849.90100000007</v>
      </c>
      <c r="S80" s="37">
        <f>F80-R80</f>
        <v>148944.91300000006</v>
      </c>
      <c r="T80" s="110">
        <f>F80/R80*100</f>
        <v>124.87182727279102</v>
      </c>
      <c r="U80" s="110">
        <f>F80/E80*100</f>
        <v>69.362500788125061</v>
      </c>
      <c r="V80" s="37">
        <f>V81+V82</f>
        <v>594716.31000000006</v>
      </c>
      <c r="W80" s="60">
        <f>F80-V80</f>
        <v>153078.50400000007</v>
      </c>
      <c r="X80" s="61">
        <f>F80/V80*100</f>
        <v>125.73975211811495</v>
      </c>
    </row>
    <row r="81" spans="1:29" s="7" customFormat="1" ht="23.25" x14ac:dyDescent="0.25">
      <c r="A81" s="12"/>
      <c r="B81" s="15" t="s">
        <v>96</v>
      </c>
      <c r="C81" s="15"/>
      <c r="D81" s="130">
        <f>D58+D57</f>
        <v>879086.1</v>
      </c>
      <c r="E81" s="130">
        <f>E58+E57+E56</f>
        <v>893401.4</v>
      </c>
      <c r="F81" s="130">
        <f t="shared" si="15"/>
        <v>581773.80000000005</v>
      </c>
      <c r="G81" s="130">
        <f>G58+G57+G56</f>
        <v>63808.4</v>
      </c>
      <c r="H81" s="130">
        <f t="shared" ref="H81:O81" si="79">H58+H57+H56</f>
        <v>63802.3</v>
      </c>
      <c r="I81" s="130">
        <f t="shared" si="79"/>
        <v>68537.3</v>
      </c>
      <c r="J81" s="130">
        <f t="shared" si="79"/>
        <v>77227.5</v>
      </c>
      <c r="K81" s="130">
        <f t="shared" si="79"/>
        <v>77274.399999999994</v>
      </c>
      <c r="L81" s="130">
        <f t="shared" si="79"/>
        <v>167943.5</v>
      </c>
      <c r="M81" s="130">
        <f t="shared" si="79"/>
        <v>24848</v>
      </c>
      <c r="N81" s="130">
        <f t="shared" si="79"/>
        <v>38332.399999999994</v>
      </c>
      <c r="O81" s="130">
        <f t="shared" si="79"/>
        <v>581773.80000000005</v>
      </c>
      <c r="P81" s="130">
        <f>F81-O81</f>
        <v>0</v>
      </c>
      <c r="Q81" s="115">
        <f>F81/O81*100</f>
        <v>100</v>
      </c>
      <c r="R81" s="130">
        <f>R58+R57+R56</f>
        <v>581773.80000000005</v>
      </c>
      <c r="S81" s="130">
        <f>F81-R81</f>
        <v>0</v>
      </c>
      <c r="T81" s="115">
        <f>F81/R81*100</f>
        <v>100</v>
      </c>
      <c r="U81" s="115">
        <f>F81/E81*100</f>
        <v>65.118971158988558</v>
      </c>
      <c r="V81" s="130">
        <f>V58</f>
        <v>512601.50000000006</v>
      </c>
      <c r="W81" s="128">
        <f>F81-V81</f>
        <v>69172.299999999988</v>
      </c>
      <c r="X81" s="129">
        <f>F81/V81*100</f>
        <v>113.49436160448224</v>
      </c>
    </row>
    <row r="82" spans="1:29" s="7" customFormat="1" ht="23.25" x14ac:dyDescent="0.25">
      <c r="A82" s="12"/>
      <c r="B82" s="15" t="s">
        <v>95</v>
      </c>
      <c r="C82" s="15"/>
      <c r="D82" s="130">
        <f>D63+D68</f>
        <v>25417.366999999998</v>
      </c>
      <c r="E82" s="130">
        <f>E63+E68+E66+E62+E61+E60+E64+E65+E67</f>
        <v>184695.274</v>
      </c>
      <c r="F82" s="130">
        <f t="shared" si="15"/>
        <v>166021.014</v>
      </c>
      <c r="G82" s="130">
        <f>G63+G68+G66+G62+G61+G60+G64+G65+G67</f>
        <v>1701.0619999999999</v>
      </c>
      <c r="H82" s="130">
        <f t="shared" ref="H82:O82" si="80">H63+H68+H66+H62+H61+H60+H64+H65+H67</f>
        <v>1830.729</v>
      </c>
      <c r="I82" s="130">
        <f t="shared" si="80"/>
        <v>2158.7069999999999</v>
      </c>
      <c r="J82" s="130">
        <f t="shared" si="80"/>
        <v>2369.2049999999999</v>
      </c>
      <c r="K82" s="130">
        <f t="shared" si="80"/>
        <v>2277.8980000000001</v>
      </c>
      <c r="L82" s="130">
        <f t="shared" si="80"/>
        <v>4708.0760000000009</v>
      </c>
      <c r="M82" s="130">
        <f>M63+M68+M66+M62+M61+M60+M64+M65+M67</f>
        <v>105192.90100000001</v>
      </c>
      <c r="N82" s="130">
        <f>N63+N68+N66+N62+N61+N60+N64+N65+N67</f>
        <v>45782.435999999994</v>
      </c>
      <c r="O82" s="130">
        <f t="shared" si="80"/>
        <v>166259.42800000001</v>
      </c>
      <c r="P82" s="130">
        <f>F82-O82</f>
        <v>-238.41400000001886</v>
      </c>
      <c r="Q82" s="115">
        <f>F82/O82*100</f>
        <v>99.85660121481952</v>
      </c>
      <c r="R82" s="130">
        <f>R63+R68+R66</f>
        <v>17076.101000000002</v>
      </c>
      <c r="S82" s="130">
        <f>F82-R82</f>
        <v>148944.913</v>
      </c>
      <c r="T82" s="115">
        <f>F82/R82*100</f>
        <v>972.24193040319915</v>
      </c>
      <c r="U82" s="115">
        <f>F82/E82*100</f>
        <v>89.889151143087716</v>
      </c>
      <c r="V82" s="130">
        <f>V63+V68+V64+V65+V60+V61+V62+V67</f>
        <v>82114.81</v>
      </c>
      <c r="W82" s="128">
        <f>F82-V82</f>
        <v>83906.203999999998</v>
      </c>
      <c r="X82" s="129">
        <f>F82/V82*100</f>
        <v>202.18157236191621</v>
      </c>
    </row>
    <row r="83" spans="1:29" s="7" customFormat="1" ht="12" customHeight="1" x14ac:dyDescent="0.25">
      <c r="A83" s="12"/>
      <c r="B83" s="34"/>
      <c r="C83" s="15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15"/>
      <c r="R83" s="130"/>
      <c r="S83" s="130"/>
      <c r="T83" s="115"/>
      <c r="U83" s="115"/>
      <c r="V83" s="130"/>
      <c r="W83" s="128"/>
      <c r="X83" s="129"/>
    </row>
    <row r="84" spans="1:29" s="160" customFormat="1" ht="23.25" x14ac:dyDescent="0.3">
      <c r="A84" s="152"/>
      <c r="B84" s="153" t="s">
        <v>28</v>
      </c>
      <c r="C84" s="154"/>
      <c r="D84" s="155">
        <f>D76+D53</f>
        <v>6124253.8440000005</v>
      </c>
      <c r="E84" s="155">
        <f>E76+E53</f>
        <v>6458646.7039999999</v>
      </c>
      <c r="F84" s="155">
        <f t="shared" si="15"/>
        <v>4434795.4539999999</v>
      </c>
      <c r="G84" s="155">
        <f t="shared" ref="G84:O84" si="81">G76+G53</f>
        <v>492255.30200000014</v>
      </c>
      <c r="H84" s="155">
        <f t="shared" si="81"/>
        <v>511684.46599999996</v>
      </c>
      <c r="I84" s="155">
        <f t="shared" si="81"/>
        <v>448401.6810000001</v>
      </c>
      <c r="J84" s="155">
        <f t="shared" si="81"/>
        <v>562337.29599999986</v>
      </c>
      <c r="K84" s="155">
        <f t="shared" si="81"/>
        <v>574545.47200000007</v>
      </c>
      <c r="L84" s="155">
        <f t="shared" ref="L84:M84" si="82">L76+L53</f>
        <v>606257.54500000004</v>
      </c>
      <c r="M84" s="155">
        <f t="shared" si="82"/>
        <v>661565.04000000015</v>
      </c>
      <c r="N84" s="155">
        <f t="shared" si="81"/>
        <v>577748.65200000012</v>
      </c>
      <c r="O84" s="155">
        <f t="shared" si="81"/>
        <v>4208138.6330000004</v>
      </c>
      <c r="P84" s="155">
        <f>F84-O84</f>
        <v>226656.82099999953</v>
      </c>
      <c r="Q84" s="156">
        <f>F84/O84*100</f>
        <v>105.38615385012673</v>
      </c>
      <c r="R84" s="155">
        <f>R76+R53</f>
        <v>4187357.6016666666</v>
      </c>
      <c r="S84" s="155">
        <f>F84-R84</f>
        <v>247437.85233333334</v>
      </c>
      <c r="T84" s="156">
        <f>F84/R84*100</f>
        <v>105.90916458233343</v>
      </c>
      <c r="U84" s="156">
        <f>F84/E84*100</f>
        <v>68.664468846909074</v>
      </c>
      <c r="V84" s="155">
        <f>V76+V53</f>
        <v>4128277.2570000002</v>
      </c>
      <c r="W84" s="157">
        <f>F84-V84</f>
        <v>306518.19699999969</v>
      </c>
      <c r="X84" s="158">
        <f>F84/V84*100</f>
        <v>107.42484523005959</v>
      </c>
      <c r="Y84" s="155">
        <v>4128277.2570000002</v>
      </c>
      <c r="Z84" s="159">
        <f>Y84-V84</f>
        <v>0</v>
      </c>
      <c r="AC84" s="159"/>
    </row>
    <row r="85" spans="1:29" s="160" customFormat="1" ht="69.75" hidden="1" x14ac:dyDescent="0.3">
      <c r="A85" s="152"/>
      <c r="B85" s="153" t="s">
        <v>193</v>
      </c>
      <c r="C85" s="154"/>
      <c r="D85" s="155">
        <f>D84</f>
        <v>6124253.8440000005</v>
      </c>
      <c r="E85" s="155">
        <f>E84</f>
        <v>6458646.7039999999</v>
      </c>
      <c r="F85" s="155">
        <f t="shared" si="15"/>
        <v>4434795.4539999999</v>
      </c>
      <c r="G85" s="155">
        <f t="shared" ref="G85:O85" si="83">G84</f>
        <v>492255.30200000014</v>
      </c>
      <c r="H85" s="155">
        <f t="shared" si="83"/>
        <v>511684.46599999996</v>
      </c>
      <c r="I85" s="155">
        <f t="shared" si="83"/>
        <v>448401.6810000001</v>
      </c>
      <c r="J85" s="155">
        <f t="shared" si="83"/>
        <v>562337.29599999986</v>
      </c>
      <c r="K85" s="155">
        <f t="shared" ref="K85:M85" si="84">K84</f>
        <v>574545.47200000007</v>
      </c>
      <c r="L85" s="155">
        <f t="shared" si="84"/>
        <v>606257.54500000004</v>
      </c>
      <c r="M85" s="155">
        <f t="shared" si="84"/>
        <v>661565.04000000015</v>
      </c>
      <c r="N85" s="155">
        <f t="shared" si="83"/>
        <v>577748.65200000012</v>
      </c>
      <c r="O85" s="155">
        <f t="shared" si="83"/>
        <v>4208138.6330000004</v>
      </c>
      <c r="P85" s="155">
        <f>F85-O85</f>
        <v>226656.82099999953</v>
      </c>
      <c r="Q85" s="156">
        <f>F85/O85*100</f>
        <v>105.38615385012673</v>
      </c>
      <c r="R85" s="155">
        <f>R84</f>
        <v>4187357.6016666666</v>
      </c>
      <c r="S85" s="155">
        <f>F85-R85</f>
        <v>247437.85233333334</v>
      </c>
      <c r="T85" s="156">
        <f>F85/R85*100</f>
        <v>105.90916458233343</v>
      </c>
      <c r="U85" s="156">
        <f>F85/E85*100</f>
        <v>68.664468846909074</v>
      </c>
      <c r="V85" s="155">
        <f>V76+V54</f>
        <v>3551181.9090000005</v>
      </c>
      <c r="W85" s="157">
        <f>F85-V85</f>
        <v>883613.54499999946</v>
      </c>
      <c r="X85" s="158">
        <f>F85/V85*100</f>
        <v>124.88223829820144</v>
      </c>
      <c r="Y85" s="155"/>
      <c r="Z85" s="159"/>
      <c r="AC85" s="159"/>
    </row>
    <row r="86" spans="1:29" s="8" customFormat="1" ht="20.25" customHeight="1" x14ac:dyDescent="0.25">
      <c r="A86" s="182" t="s">
        <v>9</v>
      </c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4"/>
    </row>
    <row r="87" spans="1:29" s="41" customFormat="1" ht="23.25" x14ac:dyDescent="0.3">
      <c r="A87" s="22">
        <v>1</v>
      </c>
      <c r="B87" s="40" t="s">
        <v>12</v>
      </c>
      <c r="C87" s="23" t="s">
        <v>21</v>
      </c>
      <c r="D87" s="83">
        <f>D88+D89</f>
        <v>88942.407999999996</v>
      </c>
      <c r="E87" s="83">
        <f>E88+E89</f>
        <v>88942.407999999996</v>
      </c>
      <c r="F87" s="126">
        <f t="shared" ref="F87:F123" si="85">SUM(G87:N87)</f>
        <v>128485.64599999998</v>
      </c>
      <c r="G87" s="126">
        <f t="shared" ref="G87:N87" si="86">G88+G89</f>
        <v>9018.42</v>
      </c>
      <c r="H87" s="126">
        <f t="shared" ref="H87:M87" si="87">H88+H89</f>
        <v>22969.59</v>
      </c>
      <c r="I87" s="126">
        <f t="shared" si="87"/>
        <v>14417.822</v>
      </c>
      <c r="J87" s="126">
        <f t="shared" si="87"/>
        <v>20530.981</v>
      </c>
      <c r="K87" s="126">
        <f t="shared" si="87"/>
        <v>11056.424000000001</v>
      </c>
      <c r="L87" s="126">
        <f t="shared" si="87"/>
        <v>17807.737000000001</v>
      </c>
      <c r="M87" s="126">
        <f t="shared" si="87"/>
        <v>23883.559999999998</v>
      </c>
      <c r="N87" s="126">
        <f t="shared" si="86"/>
        <v>8801.112000000001</v>
      </c>
      <c r="O87" s="126">
        <f>O88+O89</f>
        <v>59294.938999999998</v>
      </c>
      <c r="P87" s="126">
        <f t="shared" ref="P87:P107" si="88">F87-O87</f>
        <v>69190.70699999998</v>
      </c>
      <c r="Q87" s="112">
        <f>F87/O87*100</f>
        <v>216.68906008993446</v>
      </c>
      <c r="R87" s="126">
        <f>R88</f>
        <v>59294.938666666661</v>
      </c>
      <c r="S87" s="126">
        <f t="shared" ref="S87:S107" si="89">F87-R87</f>
        <v>69190.707333333325</v>
      </c>
      <c r="T87" s="112">
        <f>F87/R87*100</f>
        <v>216.68906130807702</v>
      </c>
      <c r="U87" s="112">
        <f>F87/E87*100</f>
        <v>144.45937420538465</v>
      </c>
      <c r="V87" s="126">
        <f t="shared" ref="V87" si="90">V88+V89</f>
        <v>114299.12599999999</v>
      </c>
      <c r="W87" s="81">
        <f t="shared" ref="W87:W107" si="91">F87-V87</f>
        <v>14186.51999999999</v>
      </c>
      <c r="X87" s="82">
        <f>F87/V87*100</f>
        <v>112.41174845028998</v>
      </c>
    </row>
    <row r="88" spans="1:29" s="43" customFormat="1" ht="39" x14ac:dyDescent="0.3">
      <c r="A88" s="123" t="s">
        <v>110</v>
      </c>
      <c r="B88" s="69" t="s">
        <v>106</v>
      </c>
      <c r="C88" s="15" t="s">
        <v>107</v>
      </c>
      <c r="D88" s="130">
        <v>88942.407999999996</v>
      </c>
      <c r="E88" s="130">
        <v>88942.407999999996</v>
      </c>
      <c r="F88" s="127">
        <f t="shared" si="85"/>
        <v>64198.255000000005</v>
      </c>
      <c r="G88" s="127">
        <v>6842.0010000000002</v>
      </c>
      <c r="H88" s="127">
        <v>8199.6650000000009</v>
      </c>
      <c r="I88" s="127">
        <v>8145.8459999999995</v>
      </c>
      <c r="J88" s="127">
        <v>15996.834999999999</v>
      </c>
      <c r="K88" s="127">
        <v>8775.9030000000002</v>
      </c>
      <c r="L88" s="127">
        <v>6940.0150000000003</v>
      </c>
      <c r="M88" s="127">
        <v>5271.1030000000001</v>
      </c>
      <c r="N88" s="127">
        <v>4026.8870000000002</v>
      </c>
      <c r="O88" s="127">
        <v>59294.938999999998</v>
      </c>
      <c r="P88" s="127">
        <f t="shared" si="88"/>
        <v>4903.3160000000062</v>
      </c>
      <c r="Q88" s="113">
        <f>F88/O88*100</f>
        <v>108.26936680042796</v>
      </c>
      <c r="R88" s="127">
        <f>E88/12*8</f>
        <v>59294.938666666661</v>
      </c>
      <c r="S88" s="127">
        <f t="shared" si="89"/>
        <v>4903.3163333333432</v>
      </c>
      <c r="T88" s="113">
        <f>F88/R88*100</f>
        <v>108.26936740907669</v>
      </c>
      <c r="U88" s="113">
        <f>F88/E88*100</f>
        <v>72.179578272717791</v>
      </c>
      <c r="V88" s="127">
        <v>59065.950999999994</v>
      </c>
      <c r="W88" s="128">
        <f t="shared" si="91"/>
        <v>5132.304000000011</v>
      </c>
      <c r="X88" s="129">
        <f>F88/V88*100</f>
        <v>108.68910753676006</v>
      </c>
    </row>
    <row r="89" spans="1:29" s="43" customFormat="1" ht="23.25" x14ac:dyDescent="0.3">
      <c r="A89" s="123" t="s">
        <v>111</v>
      </c>
      <c r="B89" s="69" t="s">
        <v>108</v>
      </c>
      <c r="C89" s="15" t="s">
        <v>109</v>
      </c>
      <c r="D89" s="130">
        <v>0</v>
      </c>
      <c r="E89" s="130">
        <v>0</v>
      </c>
      <c r="F89" s="127">
        <f t="shared" si="85"/>
        <v>64287.390999999996</v>
      </c>
      <c r="G89" s="127">
        <v>2176.4189999999999</v>
      </c>
      <c r="H89" s="127">
        <v>14769.924999999999</v>
      </c>
      <c r="I89" s="127">
        <v>6271.9759999999997</v>
      </c>
      <c r="J89" s="127">
        <v>4534.1459999999997</v>
      </c>
      <c r="K89" s="127">
        <v>2280.5210000000002</v>
      </c>
      <c r="L89" s="127">
        <v>10867.722</v>
      </c>
      <c r="M89" s="127">
        <v>18612.456999999999</v>
      </c>
      <c r="N89" s="127">
        <v>4774.2250000000004</v>
      </c>
      <c r="O89" s="127">
        <v>0</v>
      </c>
      <c r="P89" s="127">
        <f t="shared" si="88"/>
        <v>64287.390999999996</v>
      </c>
      <c r="Q89" s="113"/>
      <c r="R89" s="127"/>
      <c r="S89" s="127">
        <f t="shared" si="89"/>
        <v>64287.390999999996</v>
      </c>
      <c r="T89" s="113"/>
      <c r="U89" s="113"/>
      <c r="V89" s="127">
        <v>55233.175000000003</v>
      </c>
      <c r="W89" s="128">
        <f t="shared" si="91"/>
        <v>9054.2159999999931</v>
      </c>
      <c r="X89" s="129">
        <f>F89/V89*100</f>
        <v>116.39271325611827</v>
      </c>
    </row>
    <row r="90" spans="1:29" s="41" customFormat="1" ht="39" x14ac:dyDescent="0.3">
      <c r="A90" s="122">
        <v>2</v>
      </c>
      <c r="B90" s="80" t="s">
        <v>169</v>
      </c>
      <c r="C90" s="23" t="s">
        <v>170</v>
      </c>
      <c r="D90" s="83">
        <v>0</v>
      </c>
      <c r="E90" s="83">
        <v>0</v>
      </c>
      <c r="F90" s="126">
        <f t="shared" si="85"/>
        <v>0.62</v>
      </c>
      <c r="G90" s="126">
        <v>0</v>
      </c>
      <c r="H90" s="126">
        <v>1.2999999999999999E-2</v>
      </c>
      <c r="I90" s="126">
        <v>0.60699999999999998</v>
      </c>
      <c r="J90" s="126">
        <v>0</v>
      </c>
      <c r="K90" s="126">
        <v>0</v>
      </c>
      <c r="L90" s="126">
        <v>0</v>
      </c>
      <c r="M90" s="126">
        <v>0</v>
      </c>
      <c r="N90" s="126">
        <v>0</v>
      </c>
      <c r="O90" s="126"/>
      <c r="P90" s="126">
        <f t="shared" si="88"/>
        <v>0.62</v>
      </c>
      <c r="Q90" s="112"/>
      <c r="R90" s="126"/>
      <c r="S90" s="126">
        <f t="shared" si="89"/>
        <v>0.62</v>
      </c>
      <c r="T90" s="112"/>
      <c r="U90" s="112"/>
      <c r="V90" s="126">
        <v>0</v>
      </c>
      <c r="W90" s="81">
        <f t="shared" si="91"/>
        <v>0.62</v>
      </c>
      <c r="X90" s="82"/>
    </row>
    <row r="91" spans="1:29" s="41" customFormat="1" ht="23.25" x14ac:dyDescent="0.3">
      <c r="A91" s="22">
        <f>A90+1</f>
        <v>3</v>
      </c>
      <c r="B91" s="80" t="s">
        <v>32</v>
      </c>
      <c r="C91" s="23" t="s">
        <v>31</v>
      </c>
      <c r="D91" s="83">
        <v>3460</v>
      </c>
      <c r="E91" s="83">
        <v>3363.7179999999998</v>
      </c>
      <c r="F91" s="126">
        <f t="shared" si="85"/>
        <v>2958</v>
      </c>
      <c r="G91" s="126">
        <v>20.629000000000001</v>
      </c>
      <c r="H91" s="126">
        <v>894.51700000000005</v>
      </c>
      <c r="I91" s="126">
        <v>27.177</v>
      </c>
      <c r="J91" s="126">
        <v>154.21100000000001</v>
      </c>
      <c r="K91" s="126">
        <v>913.49699999999996</v>
      </c>
      <c r="L91" s="126">
        <v>0.84599999999999997</v>
      </c>
      <c r="M91" s="126">
        <v>22.242000000000001</v>
      </c>
      <c r="N91" s="126">
        <v>924.88099999999997</v>
      </c>
      <c r="O91" s="126">
        <v>2954.5650000000001</v>
      </c>
      <c r="P91" s="126">
        <f t="shared" si="88"/>
        <v>3.4349999999999454</v>
      </c>
      <c r="Q91" s="112">
        <f t="shared" ref="Q91:Q107" si="92">F91/O91*100</f>
        <v>100.11626076935183</v>
      </c>
      <c r="R91" s="126">
        <f t="shared" ref="R91:R92" si="93">E91/12*8</f>
        <v>2242.4786666666664</v>
      </c>
      <c r="S91" s="126">
        <f t="shared" si="89"/>
        <v>715.52133333333359</v>
      </c>
      <c r="T91" s="112">
        <f t="shared" ref="T91:T107" si="94">F91/R91*100</f>
        <v>131.90760937748053</v>
      </c>
      <c r="U91" s="112">
        <f t="shared" ref="U91:U107" si="95">F91/E91*100</f>
        <v>87.938406251653674</v>
      </c>
      <c r="V91" s="126">
        <v>2152.2750000000001</v>
      </c>
      <c r="W91" s="81">
        <f t="shared" si="91"/>
        <v>805.72499999999991</v>
      </c>
      <c r="X91" s="82">
        <f t="shared" ref="X91:X99" si="96">F91/V91*100</f>
        <v>137.4359689166115</v>
      </c>
    </row>
    <row r="92" spans="1:29" s="41" customFormat="1" ht="58.5" x14ac:dyDescent="0.3">
      <c r="A92" s="22">
        <f>A91+1</f>
        <v>4</v>
      </c>
      <c r="B92" s="40" t="s">
        <v>26</v>
      </c>
      <c r="C92" s="23" t="s">
        <v>25</v>
      </c>
      <c r="D92" s="83">
        <v>50</v>
      </c>
      <c r="E92" s="83">
        <v>350</v>
      </c>
      <c r="F92" s="126">
        <f t="shared" si="85"/>
        <v>318.68600000000009</v>
      </c>
      <c r="G92" s="126">
        <v>0</v>
      </c>
      <c r="H92" s="126">
        <v>286.39800000000002</v>
      </c>
      <c r="I92" s="126">
        <v>2.5</v>
      </c>
      <c r="J92" s="126">
        <v>11.493</v>
      </c>
      <c r="K92" s="126">
        <v>2.4750000000000001</v>
      </c>
      <c r="L92" s="126">
        <v>11.231999999999999</v>
      </c>
      <c r="M92" s="126">
        <v>2.4750000000000001</v>
      </c>
      <c r="N92" s="126">
        <v>2.113</v>
      </c>
      <c r="O92" s="126">
        <v>318</v>
      </c>
      <c r="P92" s="126">
        <f t="shared" si="88"/>
        <v>0.68600000000009231</v>
      </c>
      <c r="Q92" s="112">
        <f t="shared" si="92"/>
        <v>100.21572327044028</v>
      </c>
      <c r="R92" s="126">
        <f t="shared" si="93"/>
        <v>233.33333333333334</v>
      </c>
      <c r="S92" s="126">
        <f t="shared" si="89"/>
        <v>85.35266666666675</v>
      </c>
      <c r="T92" s="112">
        <f t="shared" si="94"/>
        <v>136.57971428571432</v>
      </c>
      <c r="U92" s="112">
        <f t="shared" si="95"/>
        <v>91.053142857142888</v>
      </c>
      <c r="V92" s="126">
        <v>45.963999999999999</v>
      </c>
      <c r="W92" s="81">
        <f t="shared" si="91"/>
        <v>272.72200000000009</v>
      </c>
      <c r="X92" s="82">
        <f t="shared" si="96"/>
        <v>693.33826472891849</v>
      </c>
    </row>
    <row r="93" spans="1:29" s="29" customFormat="1" ht="22.5" x14ac:dyDescent="0.3">
      <c r="A93" s="10">
        <f t="shared" ref="A93" si="97">A92+1</f>
        <v>5</v>
      </c>
      <c r="B93" s="14" t="s">
        <v>10</v>
      </c>
      <c r="C93" s="189"/>
      <c r="D93" s="37">
        <f>SUM(D94:D96)</f>
        <v>110700</v>
      </c>
      <c r="E93" s="37">
        <f>SUM(E94:E96)</f>
        <v>110700</v>
      </c>
      <c r="F93" s="37">
        <f t="shared" si="85"/>
        <v>76965.337</v>
      </c>
      <c r="G93" s="37">
        <f t="shared" ref="G93:O93" si="98">SUM(G94:G96)</f>
        <v>30538.786</v>
      </c>
      <c r="H93" s="37">
        <f t="shared" si="98"/>
        <v>5031.7710000000006</v>
      </c>
      <c r="I93" s="37">
        <f t="shared" si="98"/>
        <v>7656.5209999999997</v>
      </c>
      <c r="J93" s="37">
        <f t="shared" si="98"/>
        <v>2151.5749999999998</v>
      </c>
      <c r="K93" s="37">
        <f t="shared" ref="K93:M93" si="99">SUM(K94:K96)</f>
        <v>9255.86</v>
      </c>
      <c r="L93" s="37">
        <f t="shared" si="99"/>
        <v>13132.207</v>
      </c>
      <c r="M93" s="37">
        <f t="shared" si="99"/>
        <v>3295.0940000000001</v>
      </c>
      <c r="N93" s="37">
        <f t="shared" si="98"/>
        <v>5903.5229999999992</v>
      </c>
      <c r="O93" s="37">
        <f t="shared" si="98"/>
        <v>74934.376000000004</v>
      </c>
      <c r="P93" s="37">
        <f t="shared" si="88"/>
        <v>2030.9609999999957</v>
      </c>
      <c r="Q93" s="110">
        <f t="shared" si="92"/>
        <v>102.71031949341914</v>
      </c>
      <c r="R93" s="37">
        <f>SUM(R94:R96)</f>
        <v>73800</v>
      </c>
      <c r="S93" s="37">
        <f t="shared" si="89"/>
        <v>3165.3369999999995</v>
      </c>
      <c r="T93" s="110">
        <f t="shared" si="94"/>
        <v>104.28907452574525</v>
      </c>
      <c r="U93" s="110">
        <f t="shared" si="95"/>
        <v>69.526049683830166</v>
      </c>
      <c r="V93" s="37">
        <f>SUM(V94:V96)</f>
        <v>54251.946000000004</v>
      </c>
      <c r="W93" s="60">
        <f t="shared" si="91"/>
        <v>22713.390999999996</v>
      </c>
      <c r="X93" s="61">
        <f t="shared" si="96"/>
        <v>141.86650005144514</v>
      </c>
      <c r="Y93" s="190"/>
    </row>
    <row r="94" spans="1:29" s="43" customFormat="1" ht="39" x14ac:dyDescent="0.3">
      <c r="A94" s="12" t="s">
        <v>160</v>
      </c>
      <c r="B94" s="69" t="s">
        <v>126</v>
      </c>
      <c r="C94" s="15" t="s">
        <v>45</v>
      </c>
      <c r="D94" s="130">
        <v>0</v>
      </c>
      <c r="E94" s="130">
        <v>743.3</v>
      </c>
      <c r="F94" s="127">
        <f t="shared" si="85"/>
        <v>867.70699999999999</v>
      </c>
      <c r="G94" s="127">
        <v>48</v>
      </c>
      <c r="H94" s="127">
        <v>0</v>
      </c>
      <c r="I94" s="127">
        <v>274.428</v>
      </c>
      <c r="J94" s="127">
        <v>389.16300000000001</v>
      </c>
      <c r="K94" s="127">
        <v>32.283999999999999</v>
      </c>
      <c r="L94" s="127">
        <v>123.83199999999999</v>
      </c>
      <c r="M94" s="127"/>
      <c r="N94" s="127">
        <v>0</v>
      </c>
      <c r="O94" s="127">
        <v>743.3</v>
      </c>
      <c r="P94" s="127">
        <f t="shared" si="88"/>
        <v>124.40700000000004</v>
      </c>
      <c r="Q94" s="115">
        <f t="shared" si="92"/>
        <v>116.73711825642405</v>
      </c>
      <c r="R94" s="127">
        <f t="shared" ref="R94:R97" si="100">E94/12*8</f>
        <v>495.5333333333333</v>
      </c>
      <c r="S94" s="127">
        <f t="shared" si="89"/>
        <v>372.17366666666669</v>
      </c>
      <c r="T94" s="113">
        <f t="shared" si="94"/>
        <v>175.1056773846361</v>
      </c>
      <c r="U94" s="113">
        <f t="shared" si="95"/>
        <v>116.73711825642405</v>
      </c>
      <c r="V94" s="127">
        <v>2061.1799999999998</v>
      </c>
      <c r="W94" s="128">
        <f t="shared" si="91"/>
        <v>-1193.473</v>
      </c>
      <c r="X94" s="129">
        <f t="shared" si="96"/>
        <v>42.09758487856471</v>
      </c>
    </row>
    <row r="95" spans="1:29" s="43" customFormat="1" ht="39" x14ac:dyDescent="0.3">
      <c r="A95" s="12" t="s">
        <v>161</v>
      </c>
      <c r="B95" s="69" t="s">
        <v>37</v>
      </c>
      <c r="C95" s="15" t="s">
        <v>22</v>
      </c>
      <c r="D95" s="130">
        <v>14000</v>
      </c>
      <c r="E95" s="130">
        <v>13256.7</v>
      </c>
      <c r="F95" s="127">
        <f t="shared" si="85"/>
        <v>2112.9929999999999</v>
      </c>
      <c r="G95" s="127">
        <v>0</v>
      </c>
      <c r="H95" s="127">
        <v>9.6310000000000002</v>
      </c>
      <c r="I95" s="127">
        <v>0</v>
      </c>
      <c r="J95" s="127">
        <v>1.42</v>
      </c>
      <c r="K95" s="127">
        <v>535.19000000000005</v>
      </c>
      <c r="L95" s="127">
        <v>178.5</v>
      </c>
      <c r="M95" s="127"/>
      <c r="N95" s="127">
        <v>1388.252</v>
      </c>
      <c r="O95" s="127">
        <v>1856.7</v>
      </c>
      <c r="P95" s="127">
        <f t="shared" si="88"/>
        <v>256.29299999999989</v>
      </c>
      <c r="Q95" s="115">
        <f t="shared" si="92"/>
        <v>113.80368395540475</v>
      </c>
      <c r="R95" s="127">
        <f t="shared" si="100"/>
        <v>8837.8000000000011</v>
      </c>
      <c r="S95" s="127">
        <f t="shared" si="89"/>
        <v>-6724.8070000000007</v>
      </c>
      <c r="T95" s="113">
        <f t="shared" si="94"/>
        <v>23.90858584715653</v>
      </c>
      <c r="U95" s="113">
        <f t="shared" si="95"/>
        <v>15.939057231437687</v>
      </c>
      <c r="V95" s="127">
        <v>3806.527</v>
      </c>
      <c r="W95" s="128">
        <f t="shared" si="91"/>
        <v>-1693.5340000000001</v>
      </c>
      <c r="X95" s="129">
        <f t="shared" si="96"/>
        <v>55.509733675867793</v>
      </c>
    </row>
    <row r="96" spans="1:29" s="42" customFormat="1" ht="23.25" x14ac:dyDescent="0.3">
      <c r="A96" s="12" t="s">
        <v>162</v>
      </c>
      <c r="B96" s="34" t="s">
        <v>65</v>
      </c>
      <c r="C96" s="15" t="s">
        <v>43</v>
      </c>
      <c r="D96" s="130">
        <v>96700</v>
      </c>
      <c r="E96" s="130">
        <v>96700</v>
      </c>
      <c r="F96" s="130">
        <f t="shared" si="85"/>
        <v>73984.636999999988</v>
      </c>
      <c r="G96" s="130">
        <v>30490.786</v>
      </c>
      <c r="H96" s="130">
        <v>5022.1400000000003</v>
      </c>
      <c r="I96" s="130">
        <v>7382.0929999999998</v>
      </c>
      <c r="J96" s="130">
        <v>1760.992</v>
      </c>
      <c r="K96" s="130">
        <v>8688.3860000000004</v>
      </c>
      <c r="L96" s="130">
        <v>12829.875</v>
      </c>
      <c r="M96" s="130">
        <v>3295.0940000000001</v>
      </c>
      <c r="N96" s="130">
        <v>4515.2709999999997</v>
      </c>
      <c r="O96" s="130">
        <v>72334.376000000004</v>
      </c>
      <c r="P96" s="130">
        <f t="shared" si="88"/>
        <v>1650.2609999999841</v>
      </c>
      <c r="Q96" s="115">
        <f t="shared" si="92"/>
        <v>102.28143393398457</v>
      </c>
      <c r="R96" s="130">
        <f t="shared" si="100"/>
        <v>64466.666666666664</v>
      </c>
      <c r="S96" s="130">
        <f t="shared" si="89"/>
        <v>9517.9703333333237</v>
      </c>
      <c r="T96" s="115">
        <f t="shared" si="94"/>
        <v>114.76417321613235</v>
      </c>
      <c r="U96" s="115">
        <f t="shared" si="95"/>
        <v>76.509448810754904</v>
      </c>
      <c r="V96" s="130">
        <v>48384.239000000001</v>
      </c>
      <c r="W96" s="128">
        <f t="shared" si="91"/>
        <v>25600.397999999986</v>
      </c>
      <c r="X96" s="129">
        <f t="shared" si="96"/>
        <v>152.9106141361446</v>
      </c>
    </row>
    <row r="97" spans="1:26" s="41" customFormat="1" ht="23.25" x14ac:dyDescent="0.3">
      <c r="A97" s="22">
        <v>6</v>
      </c>
      <c r="B97" s="80" t="s">
        <v>11</v>
      </c>
      <c r="C97" s="23" t="s">
        <v>23</v>
      </c>
      <c r="D97" s="83">
        <v>10220.1</v>
      </c>
      <c r="E97" s="83">
        <v>10220.1</v>
      </c>
      <c r="F97" s="126">
        <f t="shared" si="85"/>
        <v>9210.616</v>
      </c>
      <c r="G97" s="126">
        <v>885.63199999999995</v>
      </c>
      <c r="H97" s="126">
        <v>822.52</v>
      </c>
      <c r="I97" s="126">
        <v>2986.248</v>
      </c>
      <c r="J97" s="126">
        <v>540.67999999999995</v>
      </c>
      <c r="K97" s="126">
        <v>978.33299999999997</v>
      </c>
      <c r="L97" s="126">
        <v>832.75300000000004</v>
      </c>
      <c r="M97" s="126">
        <v>935.58100000000002</v>
      </c>
      <c r="N97" s="126">
        <v>1228.8689999999999</v>
      </c>
      <c r="O97" s="126">
        <v>8740.06</v>
      </c>
      <c r="P97" s="126">
        <f t="shared" si="88"/>
        <v>470.55600000000049</v>
      </c>
      <c r="Q97" s="112">
        <f t="shared" si="92"/>
        <v>105.38389896636866</v>
      </c>
      <c r="R97" s="126">
        <f t="shared" si="100"/>
        <v>6813.4000000000005</v>
      </c>
      <c r="S97" s="126">
        <f t="shared" si="89"/>
        <v>2397.2159999999994</v>
      </c>
      <c r="T97" s="112">
        <f t="shared" si="94"/>
        <v>135.18384360231309</v>
      </c>
      <c r="U97" s="112">
        <f t="shared" si="95"/>
        <v>90.122562401542055</v>
      </c>
      <c r="V97" s="126">
        <v>8174.5820000000003</v>
      </c>
      <c r="W97" s="81">
        <f t="shared" si="91"/>
        <v>1036.0339999999997</v>
      </c>
      <c r="X97" s="82">
        <f t="shared" si="96"/>
        <v>112.67384680953715</v>
      </c>
    </row>
    <row r="98" spans="1:26" s="192" customFormat="1" ht="22.5" x14ac:dyDescent="0.3">
      <c r="A98" s="191"/>
      <c r="B98" s="147" t="s">
        <v>147</v>
      </c>
      <c r="C98" s="36"/>
      <c r="D98" s="37">
        <f>D87+D91+D92+D94+D95+D96+D97+D90</f>
        <v>213372.508</v>
      </c>
      <c r="E98" s="37">
        <f>E87+E91+E92+E94+E95+E96+E97+E90</f>
        <v>213576.226</v>
      </c>
      <c r="F98" s="37">
        <f t="shared" si="85"/>
        <v>217938.90499999997</v>
      </c>
      <c r="G98" s="37">
        <f t="shared" ref="G98:O98" si="101">G87+G91+G92+G94+G95+G96+G97+G90</f>
        <v>40463.466999999997</v>
      </c>
      <c r="H98" s="37">
        <f t="shared" si="101"/>
        <v>30004.809000000001</v>
      </c>
      <c r="I98" s="37">
        <f t="shared" ref="I98:M98" si="102">I87+I91+I92+I94+I95+I96+I97+I90</f>
        <v>25090.875</v>
      </c>
      <c r="J98" s="37">
        <f t="shared" si="102"/>
        <v>23388.939999999995</v>
      </c>
      <c r="K98" s="37">
        <f t="shared" si="102"/>
        <v>22206.589</v>
      </c>
      <c r="L98" s="37">
        <f t="shared" si="102"/>
        <v>31784.775000000001</v>
      </c>
      <c r="M98" s="37">
        <f t="shared" si="102"/>
        <v>28138.951999999994</v>
      </c>
      <c r="N98" s="37">
        <f t="shared" si="101"/>
        <v>16860.498</v>
      </c>
      <c r="O98" s="37">
        <f t="shared" si="101"/>
        <v>146241.94</v>
      </c>
      <c r="P98" s="37">
        <f t="shared" si="88"/>
        <v>71696.964999999967</v>
      </c>
      <c r="Q98" s="110">
        <f t="shared" si="92"/>
        <v>149.02626770405257</v>
      </c>
      <c r="R98" s="37">
        <f>R87+R91+R92+R94+R95+R96+R97+R90</f>
        <v>142384.15066666665</v>
      </c>
      <c r="S98" s="37">
        <f t="shared" si="89"/>
        <v>75554.754333333316</v>
      </c>
      <c r="T98" s="110">
        <f t="shared" si="94"/>
        <v>153.06402010306147</v>
      </c>
      <c r="U98" s="110">
        <f t="shared" si="95"/>
        <v>102.04268006870763</v>
      </c>
      <c r="V98" s="37">
        <f>V87+V91+V92+V94+V95+V96+V97+V90</f>
        <v>178923.89299999998</v>
      </c>
      <c r="W98" s="60">
        <f t="shared" si="91"/>
        <v>39015.011999999988</v>
      </c>
      <c r="X98" s="61">
        <f t="shared" si="96"/>
        <v>121.80536726864086</v>
      </c>
    </row>
    <row r="99" spans="1:26" s="25" customFormat="1" ht="78" customHeight="1" x14ac:dyDescent="0.25">
      <c r="A99" s="22">
        <v>1</v>
      </c>
      <c r="B99" s="165" t="s">
        <v>141</v>
      </c>
      <c r="C99" s="23" t="s">
        <v>69</v>
      </c>
      <c r="D99" s="83">
        <v>17390</v>
      </c>
      <c r="E99" s="83">
        <v>17390</v>
      </c>
      <c r="F99" s="83">
        <f t="shared" si="85"/>
        <v>16316.299000000001</v>
      </c>
      <c r="G99" s="83">
        <v>0</v>
      </c>
      <c r="H99" s="83">
        <v>0</v>
      </c>
      <c r="I99" s="83">
        <v>130.697</v>
      </c>
      <c r="J99" s="83">
        <v>0</v>
      </c>
      <c r="K99" s="83">
        <v>0</v>
      </c>
      <c r="L99" s="83">
        <v>16185.602000000001</v>
      </c>
      <c r="M99" s="83">
        <v>0</v>
      </c>
      <c r="N99" s="83">
        <v>0</v>
      </c>
      <c r="O99" s="83">
        <v>17390</v>
      </c>
      <c r="P99" s="83">
        <f t="shared" si="88"/>
        <v>-1073.7009999999991</v>
      </c>
      <c r="Q99" s="85">
        <f t="shared" si="92"/>
        <v>93.825756181713643</v>
      </c>
      <c r="R99" s="83">
        <f>O99</f>
        <v>17390</v>
      </c>
      <c r="S99" s="83">
        <f t="shared" si="89"/>
        <v>-1073.7009999999991</v>
      </c>
      <c r="T99" s="85">
        <f t="shared" si="94"/>
        <v>93.825756181713643</v>
      </c>
      <c r="U99" s="85">
        <f t="shared" si="95"/>
        <v>93.825756181713643</v>
      </c>
      <c r="V99" s="83">
        <v>34000</v>
      </c>
      <c r="W99" s="81">
        <f t="shared" si="91"/>
        <v>-17683.701000000001</v>
      </c>
      <c r="X99" s="82">
        <f t="shared" si="96"/>
        <v>47.989114705882358</v>
      </c>
    </row>
    <row r="100" spans="1:26" s="25" customFormat="1" ht="37.5" customHeight="1" x14ac:dyDescent="0.25">
      <c r="A100" s="22">
        <f>A99+1</f>
        <v>2</v>
      </c>
      <c r="B100" s="166" t="s">
        <v>166</v>
      </c>
      <c r="C100" s="93" t="s">
        <v>167</v>
      </c>
      <c r="D100" s="83">
        <v>0</v>
      </c>
      <c r="E100" s="83">
        <v>10260.334000000001</v>
      </c>
      <c r="F100" s="83">
        <f t="shared" si="85"/>
        <v>10260.334000000001</v>
      </c>
      <c r="G100" s="83">
        <v>0</v>
      </c>
      <c r="H100" s="83">
        <v>10260.334000000001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10260.334000000001</v>
      </c>
      <c r="P100" s="83">
        <f t="shared" si="88"/>
        <v>0</v>
      </c>
      <c r="Q100" s="85">
        <f t="shared" si="92"/>
        <v>100</v>
      </c>
      <c r="R100" s="83">
        <f>O100</f>
        <v>10260.334000000001</v>
      </c>
      <c r="S100" s="83">
        <f t="shared" si="89"/>
        <v>0</v>
      </c>
      <c r="T100" s="85">
        <f t="shared" si="94"/>
        <v>100</v>
      </c>
      <c r="U100" s="85">
        <f t="shared" si="95"/>
        <v>100</v>
      </c>
      <c r="V100" s="83">
        <v>0</v>
      </c>
      <c r="W100" s="81">
        <f t="shared" si="91"/>
        <v>10260.334000000001</v>
      </c>
      <c r="X100" s="82"/>
    </row>
    <row r="101" spans="1:26" s="25" customFormat="1" ht="37.5" x14ac:dyDescent="0.25">
      <c r="A101" s="22">
        <v>3</v>
      </c>
      <c r="B101" s="165" t="s">
        <v>154</v>
      </c>
      <c r="C101" s="23" t="s">
        <v>155</v>
      </c>
      <c r="D101" s="83">
        <v>0</v>
      </c>
      <c r="E101" s="83">
        <v>32619.324000000001</v>
      </c>
      <c r="F101" s="83">
        <f t="shared" si="85"/>
        <v>32619.324000000001</v>
      </c>
      <c r="G101" s="83">
        <v>24369.562000000002</v>
      </c>
      <c r="H101" s="83">
        <v>0</v>
      </c>
      <c r="I101" s="83">
        <v>0</v>
      </c>
      <c r="J101" s="83">
        <v>0</v>
      </c>
      <c r="K101" s="83">
        <v>8249.7620000000006</v>
      </c>
      <c r="L101" s="83">
        <v>0</v>
      </c>
      <c r="M101" s="83">
        <v>0</v>
      </c>
      <c r="N101" s="83">
        <v>0</v>
      </c>
      <c r="O101" s="83">
        <v>32619.324000000001</v>
      </c>
      <c r="P101" s="83">
        <f t="shared" si="88"/>
        <v>0</v>
      </c>
      <c r="Q101" s="85">
        <f t="shared" si="92"/>
        <v>100</v>
      </c>
      <c r="R101" s="126">
        <f>O101</f>
        <v>32619.324000000001</v>
      </c>
      <c r="S101" s="83">
        <f t="shared" si="89"/>
        <v>0</v>
      </c>
      <c r="T101" s="85">
        <f t="shared" si="94"/>
        <v>100</v>
      </c>
      <c r="U101" s="85">
        <f t="shared" si="95"/>
        <v>100</v>
      </c>
      <c r="V101" s="83">
        <v>0</v>
      </c>
      <c r="W101" s="81">
        <f t="shared" si="91"/>
        <v>32619.324000000001</v>
      </c>
      <c r="X101" s="82"/>
    </row>
    <row r="102" spans="1:26" s="38" customFormat="1" ht="22.5" x14ac:dyDescent="0.3">
      <c r="A102" s="187"/>
      <c r="B102" s="39" t="s">
        <v>27</v>
      </c>
      <c r="C102" s="36"/>
      <c r="D102" s="37">
        <f t="shared" ref="D102:E102" si="103">D103+D106</f>
        <v>17390</v>
      </c>
      <c r="E102" s="37">
        <f t="shared" si="103"/>
        <v>60269.658000000003</v>
      </c>
      <c r="F102" s="37">
        <f>SUM(G102:N102)</f>
        <v>59195.957000000002</v>
      </c>
      <c r="G102" s="37">
        <f t="shared" ref="G102:H102" si="104">G103+G106</f>
        <v>24369.562000000002</v>
      </c>
      <c r="H102" s="37">
        <f t="shared" si="104"/>
        <v>10260.334000000001</v>
      </c>
      <c r="I102" s="37">
        <f t="shared" ref="I102:O102" si="105">I103+I106</f>
        <v>130.697</v>
      </c>
      <c r="J102" s="37">
        <f t="shared" si="105"/>
        <v>0</v>
      </c>
      <c r="K102" s="37">
        <f t="shared" si="105"/>
        <v>8249.7620000000006</v>
      </c>
      <c r="L102" s="37">
        <f t="shared" si="105"/>
        <v>16185.602000000001</v>
      </c>
      <c r="M102" s="37">
        <f t="shared" ref="M102" si="106">M103+M106</f>
        <v>0</v>
      </c>
      <c r="N102" s="37">
        <f t="shared" si="105"/>
        <v>0</v>
      </c>
      <c r="O102" s="37">
        <f t="shared" si="105"/>
        <v>60269.658000000003</v>
      </c>
      <c r="P102" s="37">
        <f t="shared" si="88"/>
        <v>-1073.7010000000009</v>
      </c>
      <c r="Q102" s="110">
        <f t="shared" si="92"/>
        <v>98.218504906731013</v>
      </c>
      <c r="R102" s="37">
        <f>R103+R106</f>
        <v>60269.658000000003</v>
      </c>
      <c r="S102" s="37">
        <f t="shared" si="89"/>
        <v>-1073.7010000000009</v>
      </c>
      <c r="T102" s="110">
        <f t="shared" si="94"/>
        <v>98.218504906731013</v>
      </c>
      <c r="U102" s="110">
        <f t="shared" si="95"/>
        <v>98.218504906731013</v>
      </c>
      <c r="V102" s="37">
        <f>V103+V106</f>
        <v>34000</v>
      </c>
      <c r="W102" s="60">
        <f t="shared" si="91"/>
        <v>25195.957000000002</v>
      </c>
      <c r="X102" s="61">
        <f>F102/V102*100</f>
        <v>174.10575588235295</v>
      </c>
    </row>
    <row r="103" spans="1:26" s="111" customFormat="1" ht="22.5" x14ac:dyDescent="0.25">
      <c r="A103" s="31"/>
      <c r="B103" s="109" t="s">
        <v>70</v>
      </c>
      <c r="C103" s="24"/>
      <c r="D103" s="37">
        <f>D104+D105</f>
        <v>17390</v>
      </c>
      <c r="E103" s="37">
        <f>E104+E105</f>
        <v>27650.334000000003</v>
      </c>
      <c r="F103" s="37">
        <f>SUM(G103:N103)</f>
        <v>26576.633000000002</v>
      </c>
      <c r="G103" s="37">
        <f t="shared" ref="G103:O103" si="107">G104+G105</f>
        <v>0</v>
      </c>
      <c r="H103" s="37">
        <f t="shared" si="107"/>
        <v>10260.334000000001</v>
      </c>
      <c r="I103" s="37">
        <f t="shared" si="107"/>
        <v>130.697</v>
      </c>
      <c r="J103" s="37">
        <f t="shared" si="107"/>
        <v>0</v>
      </c>
      <c r="K103" s="37">
        <f t="shared" ref="K103:M103" si="108">K104+K105</f>
        <v>0</v>
      </c>
      <c r="L103" s="37">
        <f t="shared" si="108"/>
        <v>16185.602000000001</v>
      </c>
      <c r="M103" s="37">
        <f t="shared" si="108"/>
        <v>0</v>
      </c>
      <c r="N103" s="37">
        <f t="shared" si="107"/>
        <v>0</v>
      </c>
      <c r="O103" s="37">
        <f t="shared" si="107"/>
        <v>27650.334000000003</v>
      </c>
      <c r="P103" s="37">
        <f t="shared" si="88"/>
        <v>-1073.7010000000009</v>
      </c>
      <c r="Q103" s="110">
        <f t="shared" si="92"/>
        <v>96.116860649856889</v>
      </c>
      <c r="R103" s="37">
        <f>R104+R105</f>
        <v>27650.334000000003</v>
      </c>
      <c r="S103" s="37">
        <f t="shared" si="89"/>
        <v>-1073.7010000000009</v>
      </c>
      <c r="T103" s="110">
        <f t="shared" si="94"/>
        <v>96.116860649856889</v>
      </c>
      <c r="U103" s="110">
        <f t="shared" si="95"/>
        <v>96.116860649856889</v>
      </c>
      <c r="V103" s="37">
        <f>V104+V105</f>
        <v>34000</v>
      </c>
      <c r="W103" s="60">
        <f t="shared" si="91"/>
        <v>-7423.3669999999984</v>
      </c>
      <c r="X103" s="61">
        <f>F103/V103*100</f>
        <v>78.166567647058827</v>
      </c>
    </row>
    <row r="104" spans="1:26" s="7" customFormat="1" ht="23.25" x14ac:dyDescent="0.25">
      <c r="A104" s="12"/>
      <c r="B104" s="15" t="s">
        <v>96</v>
      </c>
      <c r="C104" s="15"/>
      <c r="D104" s="130">
        <f>D99</f>
        <v>17390</v>
      </c>
      <c r="E104" s="130">
        <f>E99</f>
        <v>17390</v>
      </c>
      <c r="F104" s="130">
        <f t="shared" si="85"/>
        <v>16316.299000000001</v>
      </c>
      <c r="G104" s="130">
        <f t="shared" ref="G104:O105" si="109">G99</f>
        <v>0</v>
      </c>
      <c r="H104" s="130">
        <f t="shared" si="109"/>
        <v>0</v>
      </c>
      <c r="I104" s="130">
        <f t="shared" ref="I104:M104" si="110">I99</f>
        <v>130.697</v>
      </c>
      <c r="J104" s="130">
        <f t="shared" si="110"/>
        <v>0</v>
      </c>
      <c r="K104" s="130">
        <f t="shared" si="110"/>
        <v>0</v>
      </c>
      <c r="L104" s="130">
        <f t="shared" si="110"/>
        <v>16185.602000000001</v>
      </c>
      <c r="M104" s="130">
        <f t="shared" si="110"/>
        <v>0</v>
      </c>
      <c r="N104" s="130">
        <f t="shared" si="109"/>
        <v>0</v>
      </c>
      <c r="O104" s="130">
        <f t="shared" si="109"/>
        <v>17390</v>
      </c>
      <c r="P104" s="130">
        <f t="shared" si="88"/>
        <v>-1073.7009999999991</v>
      </c>
      <c r="Q104" s="115">
        <f t="shared" si="92"/>
        <v>93.825756181713643</v>
      </c>
      <c r="R104" s="130">
        <f>R99</f>
        <v>17390</v>
      </c>
      <c r="S104" s="130">
        <f t="shared" si="89"/>
        <v>-1073.7009999999991</v>
      </c>
      <c r="T104" s="115">
        <f t="shared" si="94"/>
        <v>93.825756181713643</v>
      </c>
      <c r="U104" s="115">
        <f t="shared" si="95"/>
        <v>93.825756181713643</v>
      </c>
      <c r="V104" s="130">
        <f>V99</f>
        <v>34000</v>
      </c>
      <c r="W104" s="128">
        <f t="shared" si="91"/>
        <v>-17683.701000000001</v>
      </c>
      <c r="X104" s="129">
        <f>F104/V104*100</f>
        <v>47.989114705882358</v>
      </c>
    </row>
    <row r="105" spans="1:26" s="7" customFormat="1" ht="23.25" x14ac:dyDescent="0.25">
      <c r="A105" s="12"/>
      <c r="B105" s="106" t="s">
        <v>95</v>
      </c>
      <c r="C105" s="15"/>
      <c r="D105" s="130"/>
      <c r="E105" s="130">
        <f>E100</f>
        <v>10260.334000000001</v>
      </c>
      <c r="F105" s="130">
        <f t="shared" si="85"/>
        <v>10260.334000000001</v>
      </c>
      <c r="G105" s="130">
        <f t="shared" si="109"/>
        <v>0</v>
      </c>
      <c r="H105" s="130">
        <f t="shared" si="109"/>
        <v>10260.334000000001</v>
      </c>
      <c r="I105" s="130">
        <f t="shared" ref="I105:M105" si="111">I100</f>
        <v>0</v>
      </c>
      <c r="J105" s="130">
        <f t="shared" si="111"/>
        <v>0</v>
      </c>
      <c r="K105" s="130">
        <f t="shared" si="111"/>
        <v>0</v>
      </c>
      <c r="L105" s="130">
        <f t="shared" si="111"/>
        <v>0</v>
      </c>
      <c r="M105" s="130">
        <f t="shared" si="111"/>
        <v>0</v>
      </c>
      <c r="N105" s="130">
        <f t="shared" si="109"/>
        <v>0</v>
      </c>
      <c r="O105" s="130">
        <f>O100</f>
        <v>10260.334000000001</v>
      </c>
      <c r="P105" s="130">
        <f t="shared" si="88"/>
        <v>0</v>
      </c>
      <c r="Q105" s="115">
        <f t="shared" si="92"/>
        <v>100</v>
      </c>
      <c r="R105" s="130">
        <f>R100</f>
        <v>10260.334000000001</v>
      </c>
      <c r="S105" s="130">
        <f t="shared" si="89"/>
        <v>0</v>
      </c>
      <c r="T105" s="115">
        <f t="shared" si="94"/>
        <v>100</v>
      </c>
      <c r="U105" s="115">
        <f t="shared" si="95"/>
        <v>100</v>
      </c>
      <c r="V105" s="130">
        <v>0</v>
      </c>
      <c r="W105" s="128">
        <f t="shared" si="91"/>
        <v>10260.334000000001</v>
      </c>
      <c r="X105" s="129"/>
    </row>
    <row r="106" spans="1:26" s="111" customFormat="1" ht="58.5" x14ac:dyDescent="0.25">
      <c r="A106" s="31"/>
      <c r="B106" s="109" t="s">
        <v>190</v>
      </c>
      <c r="C106" s="24"/>
      <c r="D106" s="37">
        <f>D101</f>
        <v>0</v>
      </c>
      <c r="E106" s="37">
        <f>E101</f>
        <v>32619.324000000001</v>
      </c>
      <c r="F106" s="37">
        <f t="shared" si="85"/>
        <v>32619.324000000001</v>
      </c>
      <c r="G106" s="37">
        <f>G101</f>
        <v>24369.562000000002</v>
      </c>
      <c r="H106" s="37">
        <f t="shared" ref="H106:N106" si="112">H101</f>
        <v>0</v>
      </c>
      <c r="I106" s="37">
        <f t="shared" ref="I106:M106" si="113">I101</f>
        <v>0</v>
      </c>
      <c r="J106" s="37">
        <f t="shared" si="113"/>
        <v>0</v>
      </c>
      <c r="K106" s="37">
        <f t="shared" si="113"/>
        <v>8249.7620000000006</v>
      </c>
      <c r="L106" s="37">
        <f t="shared" si="113"/>
        <v>0</v>
      </c>
      <c r="M106" s="37">
        <f t="shared" si="113"/>
        <v>0</v>
      </c>
      <c r="N106" s="37">
        <f t="shared" si="112"/>
        <v>0</v>
      </c>
      <c r="O106" s="37">
        <f>O101</f>
        <v>32619.324000000001</v>
      </c>
      <c r="P106" s="37">
        <f t="shared" si="88"/>
        <v>0</v>
      </c>
      <c r="Q106" s="110">
        <f t="shared" si="92"/>
        <v>100</v>
      </c>
      <c r="R106" s="37">
        <f>R101</f>
        <v>32619.324000000001</v>
      </c>
      <c r="S106" s="37">
        <f t="shared" si="89"/>
        <v>0</v>
      </c>
      <c r="T106" s="110">
        <f t="shared" si="94"/>
        <v>100</v>
      </c>
      <c r="U106" s="110">
        <f t="shared" si="95"/>
        <v>100</v>
      </c>
      <c r="V106" s="37"/>
      <c r="W106" s="60">
        <f t="shared" si="91"/>
        <v>32619.324000000001</v>
      </c>
      <c r="X106" s="61"/>
    </row>
    <row r="107" spans="1:26" s="160" customFormat="1" ht="38.25" customHeight="1" x14ac:dyDescent="0.3">
      <c r="A107" s="152"/>
      <c r="B107" s="153" t="s">
        <v>42</v>
      </c>
      <c r="C107" s="161"/>
      <c r="D107" s="155">
        <f>D98+D102</f>
        <v>230762.508</v>
      </c>
      <c r="E107" s="155">
        <f>E98+E102</f>
        <v>273845.88400000002</v>
      </c>
      <c r="F107" s="155">
        <f>SUM(G107:N107)</f>
        <v>277134.86199999996</v>
      </c>
      <c r="G107" s="155">
        <f>G98+G102</f>
        <v>64833.028999999995</v>
      </c>
      <c r="H107" s="155">
        <f t="shared" ref="H107:N107" si="114">H98+H102</f>
        <v>40265.143000000004</v>
      </c>
      <c r="I107" s="155">
        <f t="shared" ref="I107:M107" si="115">I98+I102</f>
        <v>25221.572</v>
      </c>
      <c r="J107" s="155">
        <f t="shared" si="115"/>
        <v>23388.939999999995</v>
      </c>
      <c r="K107" s="155">
        <f t="shared" si="115"/>
        <v>30456.351000000002</v>
      </c>
      <c r="L107" s="155">
        <f t="shared" si="115"/>
        <v>47970.377</v>
      </c>
      <c r="M107" s="155">
        <f t="shared" si="115"/>
        <v>28138.951999999994</v>
      </c>
      <c r="N107" s="155">
        <f t="shared" si="114"/>
        <v>16860.498</v>
      </c>
      <c r="O107" s="155">
        <f t="shared" ref="O107" si="116">O98+O102</f>
        <v>206511.598</v>
      </c>
      <c r="P107" s="155">
        <f t="shared" si="88"/>
        <v>70623.263999999966</v>
      </c>
      <c r="Q107" s="156">
        <f t="shared" si="92"/>
        <v>134.19820711474034</v>
      </c>
      <c r="R107" s="155">
        <f>R98+R102</f>
        <v>202653.80866666665</v>
      </c>
      <c r="S107" s="155">
        <f t="shared" si="89"/>
        <v>74481.053333333315</v>
      </c>
      <c r="T107" s="156">
        <f t="shared" si="94"/>
        <v>136.7528514876534</v>
      </c>
      <c r="U107" s="156">
        <f t="shared" si="95"/>
        <v>101.2010324756241</v>
      </c>
      <c r="V107" s="155">
        <f>V98+V102</f>
        <v>212923.89299999998</v>
      </c>
      <c r="W107" s="193">
        <f t="shared" si="91"/>
        <v>64210.968999999983</v>
      </c>
      <c r="X107" s="158">
        <f>F107/V107*100</f>
        <v>130.15677014697454</v>
      </c>
      <c r="Y107" s="155">
        <v>212923.89299999998</v>
      </c>
      <c r="Z107" s="155">
        <f>Y107-V107</f>
        <v>0</v>
      </c>
    </row>
    <row r="108" spans="1:26" s="11" customFormat="1" ht="26.25" customHeight="1" x14ac:dyDescent="0.25">
      <c r="A108" s="179" t="s">
        <v>41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1"/>
    </row>
    <row r="109" spans="1:26" s="160" customFormat="1" ht="36" customHeight="1" x14ac:dyDescent="0.3">
      <c r="A109" s="162"/>
      <c r="B109" s="153" t="s">
        <v>149</v>
      </c>
      <c r="C109" s="161"/>
      <c r="D109" s="155">
        <f>D53+D98</f>
        <v>5433122.8850000007</v>
      </c>
      <c r="E109" s="155">
        <f>E53+E98</f>
        <v>5589703.2110000001</v>
      </c>
      <c r="F109" s="155">
        <f t="shared" si="85"/>
        <v>3900516.5010000002</v>
      </c>
      <c r="G109" s="155">
        <f t="shared" ref="G109:O109" si="117">G53+G98</f>
        <v>467209.30700000015</v>
      </c>
      <c r="H109" s="155">
        <f t="shared" si="117"/>
        <v>475494.32299999997</v>
      </c>
      <c r="I109" s="155">
        <f t="shared" si="117"/>
        <v>402796.54900000012</v>
      </c>
      <c r="J109" s="155">
        <f t="shared" si="117"/>
        <v>504565.35999999987</v>
      </c>
      <c r="K109" s="155">
        <f t="shared" si="117"/>
        <v>517199.76300000004</v>
      </c>
      <c r="L109" s="155">
        <f t="shared" ref="L109:M109" si="118">L53+L98</f>
        <v>464660.72600000002</v>
      </c>
      <c r="M109" s="155">
        <f t="shared" si="118"/>
        <v>558468.60700000019</v>
      </c>
      <c r="N109" s="155">
        <f t="shared" si="117"/>
        <v>510121.86600000015</v>
      </c>
      <c r="O109" s="155">
        <f t="shared" si="117"/>
        <v>3601924.3010000004</v>
      </c>
      <c r="P109" s="155">
        <f>F109-O109</f>
        <v>298592.19999999972</v>
      </c>
      <c r="Q109" s="156">
        <f>F109/O109*100</f>
        <v>108.28979664889408</v>
      </c>
      <c r="R109" s="155">
        <f>R53+R98</f>
        <v>3726468.8073333334</v>
      </c>
      <c r="S109" s="155">
        <f>F109-R109</f>
        <v>174047.69366666675</v>
      </c>
      <c r="T109" s="156">
        <f>F109/R109*100</f>
        <v>104.67057964698799</v>
      </c>
      <c r="U109" s="156">
        <f>F109/E109*100</f>
        <v>69.780386431325326</v>
      </c>
      <c r="V109" s="155">
        <f>V53+V98</f>
        <v>3701953.3560000001</v>
      </c>
      <c r="W109" s="157">
        <f>F109-V109</f>
        <v>198563.14500000002</v>
      </c>
      <c r="X109" s="158">
        <f>F109/V109*100</f>
        <v>105.36373978559659</v>
      </c>
    </row>
    <row r="110" spans="1:26" s="160" customFormat="1" ht="75" hidden="1" customHeight="1" x14ac:dyDescent="0.3">
      <c r="A110" s="162"/>
      <c r="B110" s="153" t="s">
        <v>192</v>
      </c>
      <c r="C110" s="161"/>
      <c r="D110" s="155">
        <f>D109</f>
        <v>5433122.8850000007</v>
      </c>
      <c r="E110" s="155">
        <f>E109</f>
        <v>5589703.2110000001</v>
      </c>
      <c r="F110" s="155">
        <f t="shared" si="85"/>
        <v>3900516.5010000002</v>
      </c>
      <c r="G110" s="155">
        <f t="shared" ref="G110:O110" si="119">G109</f>
        <v>467209.30700000015</v>
      </c>
      <c r="H110" s="155">
        <f t="shared" si="119"/>
        <v>475494.32299999997</v>
      </c>
      <c r="I110" s="155">
        <f t="shared" si="119"/>
        <v>402796.54900000012</v>
      </c>
      <c r="J110" s="155">
        <f t="shared" si="119"/>
        <v>504565.35999999987</v>
      </c>
      <c r="K110" s="155">
        <f t="shared" ref="K110:M110" si="120">K109</f>
        <v>517199.76300000004</v>
      </c>
      <c r="L110" s="155">
        <f t="shared" si="120"/>
        <v>464660.72600000002</v>
      </c>
      <c r="M110" s="155">
        <f t="shared" si="120"/>
        <v>558468.60700000019</v>
      </c>
      <c r="N110" s="155">
        <f t="shared" si="119"/>
        <v>510121.86600000015</v>
      </c>
      <c r="O110" s="155">
        <f t="shared" si="119"/>
        <v>3601924.3010000004</v>
      </c>
      <c r="P110" s="155">
        <f>F110-O110</f>
        <v>298592.19999999972</v>
      </c>
      <c r="Q110" s="156">
        <f>F110/O110*100</f>
        <v>108.28979664889408</v>
      </c>
      <c r="R110" s="155">
        <f>R109</f>
        <v>3726468.8073333334</v>
      </c>
      <c r="S110" s="155">
        <f>F110-R110</f>
        <v>174047.69366666675</v>
      </c>
      <c r="T110" s="156">
        <f>F110/R110*100</f>
        <v>104.67057964698799</v>
      </c>
      <c r="U110" s="156">
        <f>F110/E110*100</f>
        <v>69.780386431325326</v>
      </c>
      <c r="V110" s="155">
        <f>V98+V54</f>
        <v>3124858.0080000004</v>
      </c>
      <c r="W110" s="157">
        <f>F110-V110</f>
        <v>775658.49299999978</v>
      </c>
      <c r="X110" s="158">
        <f>F110/V110*100</f>
        <v>124.82219963320648</v>
      </c>
    </row>
    <row r="111" spans="1:26" s="29" customFormat="1" ht="22.5" hidden="1" x14ac:dyDescent="0.3">
      <c r="A111" s="108"/>
      <c r="B111" s="14"/>
      <c r="C111" s="24"/>
      <c r="D111" s="37"/>
      <c r="E111" s="37"/>
      <c r="F111" s="37">
        <f t="shared" si="85"/>
        <v>0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110"/>
      <c r="R111" s="37"/>
      <c r="S111" s="37"/>
      <c r="T111" s="110"/>
      <c r="U111" s="110"/>
      <c r="V111" s="37"/>
      <c r="W111" s="60"/>
      <c r="X111" s="61"/>
    </row>
    <row r="112" spans="1:26" s="29" customFormat="1" ht="32.25" hidden="1" customHeight="1" x14ac:dyDescent="0.3">
      <c r="A112" s="108"/>
      <c r="B112" s="95" t="s">
        <v>66</v>
      </c>
      <c r="C112" s="24"/>
      <c r="D112" s="96"/>
      <c r="E112" s="96"/>
      <c r="F112" s="96">
        <f t="shared" si="85"/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  <c r="N112" s="96">
        <v>0</v>
      </c>
      <c r="O112" s="96"/>
      <c r="P112" s="96">
        <f>F112-O112</f>
        <v>0</v>
      </c>
      <c r="Q112" s="116"/>
      <c r="R112" s="96"/>
      <c r="S112" s="96">
        <f>F112-R112</f>
        <v>0</v>
      </c>
      <c r="T112" s="116"/>
      <c r="U112" s="116"/>
      <c r="V112" s="96">
        <v>-259056</v>
      </c>
      <c r="W112" s="97">
        <f>F112-V112</f>
        <v>259056</v>
      </c>
      <c r="X112" s="98">
        <f>F112/V112*100</f>
        <v>0</v>
      </c>
    </row>
    <row r="113" spans="1:26" s="29" customFormat="1" ht="22.5" hidden="1" x14ac:dyDescent="0.3">
      <c r="A113" s="10"/>
      <c r="B113" s="14"/>
      <c r="C113" s="24"/>
      <c r="D113" s="37"/>
      <c r="E113" s="37"/>
      <c r="F113" s="37">
        <f t="shared" si="85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110"/>
      <c r="R113" s="37"/>
      <c r="S113" s="37"/>
      <c r="T113" s="110"/>
      <c r="U113" s="110"/>
      <c r="V113" s="37"/>
      <c r="W113" s="60"/>
      <c r="X113" s="61"/>
    </row>
    <row r="114" spans="1:26" s="38" customFormat="1" ht="37.5" customHeight="1" x14ac:dyDescent="0.3">
      <c r="A114" s="187"/>
      <c r="B114" s="39" t="s">
        <v>27</v>
      </c>
      <c r="C114" s="36"/>
      <c r="D114" s="37">
        <f>D115+D116+D117+D120</f>
        <v>921893.46699999995</v>
      </c>
      <c r="E114" s="37">
        <f>E115+E116+E117+E120</f>
        <v>1142789.3769999999</v>
      </c>
      <c r="F114" s="37">
        <f>SUM(G114:N114)</f>
        <v>811413.81500000006</v>
      </c>
      <c r="G114" s="37">
        <f>G115+G116+G117+G120</f>
        <v>89879.024000000005</v>
      </c>
      <c r="H114" s="37">
        <f t="shared" ref="H114:N114" si="121">H115+H116+H117+H120</f>
        <v>76455.285999999993</v>
      </c>
      <c r="I114" s="37">
        <f t="shared" ref="I114:M114" si="122">I115+I116+I117+I120</f>
        <v>70826.703999999998</v>
      </c>
      <c r="J114" s="37">
        <f t="shared" si="122"/>
        <v>81160.876000000004</v>
      </c>
      <c r="K114" s="37">
        <f t="shared" si="122"/>
        <v>87802.06</v>
      </c>
      <c r="L114" s="37">
        <f t="shared" si="122"/>
        <v>189567.19600000003</v>
      </c>
      <c r="M114" s="37">
        <f t="shared" si="122"/>
        <v>131235.38500000001</v>
      </c>
      <c r="N114" s="37">
        <f t="shared" si="121"/>
        <v>84487.283999999985</v>
      </c>
      <c r="O114" s="37">
        <f>O115+O116+O117+O120</f>
        <v>812725.93</v>
      </c>
      <c r="P114" s="37">
        <f t="shared" ref="P114:P120" si="123">F114-O114</f>
        <v>-1312.1149999999907</v>
      </c>
      <c r="Q114" s="110">
        <f>F114/O114*100</f>
        <v>99.838553816044723</v>
      </c>
      <c r="R114" s="37">
        <f>R115+R116+R117+R120</f>
        <v>663542.60300000012</v>
      </c>
      <c r="S114" s="37">
        <f t="shared" ref="S114:S120" si="124">F114-R114</f>
        <v>147871.21199999994</v>
      </c>
      <c r="T114" s="110">
        <f>F114/R114*100</f>
        <v>122.28511196288628</v>
      </c>
      <c r="U114" s="110">
        <f>F114/E114*100</f>
        <v>71.002918939453892</v>
      </c>
      <c r="V114" s="37">
        <f>V115+V116+V117+V120</f>
        <v>639247.79400000011</v>
      </c>
      <c r="W114" s="60">
        <f t="shared" ref="W114:W120" si="125">F114-V114</f>
        <v>172166.02099999995</v>
      </c>
      <c r="X114" s="61">
        <f>F114/V114*100</f>
        <v>126.93259524959737</v>
      </c>
    </row>
    <row r="115" spans="1:26" s="38" customFormat="1" ht="37.5" customHeight="1" x14ac:dyDescent="0.3">
      <c r="A115" s="99"/>
      <c r="B115" s="95" t="s">
        <v>133</v>
      </c>
      <c r="C115" s="36"/>
      <c r="D115" s="37">
        <f>D78</f>
        <v>0</v>
      </c>
      <c r="E115" s="37">
        <f>E78</f>
        <v>0</v>
      </c>
      <c r="F115" s="37">
        <f t="shared" si="85"/>
        <v>0</v>
      </c>
      <c r="G115" s="37">
        <f t="shared" ref="G115:O116" si="126">G78</f>
        <v>0</v>
      </c>
      <c r="H115" s="37">
        <f t="shared" si="126"/>
        <v>0</v>
      </c>
      <c r="I115" s="37">
        <f t="shared" ref="I115:M115" si="127">I78</f>
        <v>0</v>
      </c>
      <c r="J115" s="37">
        <f t="shared" si="127"/>
        <v>0</v>
      </c>
      <c r="K115" s="37">
        <f t="shared" si="127"/>
        <v>0</v>
      </c>
      <c r="L115" s="37">
        <f t="shared" si="127"/>
        <v>0</v>
      </c>
      <c r="M115" s="37">
        <f t="shared" si="127"/>
        <v>0</v>
      </c>
      <c r="N115" s="37">
        <f t="shared" si="126"/>
        <v>0</v>
      </c>
      <c r="O115" s="37">
        <f t="shared" si="126"/>
        <v>0</v>
      </c>
      <c r="P115" s="37">
        <f t="shared" si="123"/>
        <v>0</v>
      </c>
      <c r="Q115" s="110"/>
      <c r="R115" s="37">
        <f>R78</f>
        <v>0</v>
      </c>
      <c r="S115" s="37">
        <f t="shared" si="124"/>
        <v>0</v>
      </c>
      <c r="T115" s="110"/>
      <c r="U115" s="110"/>
      <c r="V115" s="37">
        <f>V78</f>
        <v>7330.4000000000005</v>
      </c>
      <c r="W115" s="60">
        <f t="shared" si="125"/>
        <v>-7330.4000000000005</v>
      </c>
      <c r="X115" s="61"/>
    </row>
    <row r="116" spans="1:26" s="38" customFormat="1" ht="44.25" customHeight="1" x14ac:dyDescent="0.3">
      <c r="A116" s="99"/>
      <c r="B116" s="95" t="s">
        <v>105</v>
      </c>
      <c r="C116" s="36"/>
      <c r="D116" s="37">
        <f>D79</f>
        <v>0</v>
      </c>
      <c r="E116" s="37">
        <f>E79</f>
        <v>4423.0450000000001</v>
      </c>
      <c r="F116" s="37">
        <f t="shared" si="85"/>
        <v>4423.0439999999999</v>
      </c>
      <c r="G116" s="37">
        <f t="shared" si="126"/>
        <v>0</v>
      </c>
      <c r="H116" s="37">
        <f t="shared" si="126"/>
        <v>561.923</v>
      </c>
      <c r="I116" s="37">
        <f t="shared" ref="I116:M116" si="128">I79</f>
        <v>0</v>
      </c>
      <c r="J116" s="37">
        <f t="shared" si="128"/>
        <v>1564.171</v>
      </c>
      <c r="K116" s="37">
        <f t="shared" si="128"/>
        <v>0</v>
      </c>
      <c r="L116" s="37">
        <f t="shared" si="128"/>
        <v>730.01800000000003</v>
      </c>
      <c r="M116" s="37">
        <f t="shared" si="128"/>
        <v>1194.4839999999999</v>
      </c>
      <c r="N116" s="37">
        <f t="shared" si="126"/>
        <v>372.44799999999998</v>
      </c>
      <c r="O116" s="37">
        <f t="shared" si="126"/>
        <v>4423.0439999999999</v>
      </c>
      <c r="P116" s="37">
        <f t="shared" si="123"/>
        <v>0</v>
      </c>
      <c r="Q116" s="110">
        <f>F116/O116*100</f>
        <v>100</v>
      </c>
      <c r="R116" s="37">
        <f>R79</f>
        <v>4423.0439999999999</v>
      </c>
      <c r="S116" s="37">
        <f t="shared" si="124"/>
        <v>0</v>
      </c>
      <c r="T116" s="110">
        <f>F116/R116*100</f>
        <v>100</v>
      </c>
      <c r="U116" s="110">
        <f>F116/E116*100</f>
        <v>99.999977391141172</v>
      </c>
      <c r="V116" s="37">
        <f>V79</f>
        <v>3201.0839999999998</v>
      </c>
      <c r="W116" s="60">
        <f t="shared" si="125"/>
        <v>1221.96</v>
      </c>
      <c r="X116" s="61">
        <f>F116/V116*100</f>
        <v>138.1733187882605</v>
      </c>
    </row>
    <row r="117" spans="1:26" s="38" customFormat="1" ht="37.5" customHeight="1" x14ac:dyDescent="0.3">
      <c r="A117" s="99"/>
      <c r="B117" s="39" t="s">
        <v>70</v>
      </c>
      <c r="C117" s="36"/>
      <c r="D117" s="37">
        <f>D118+D119</f>
        <v>921893.46699999995</v>
      </c>
      <c r="E117" s="37">
        <f t="shared" ref="E117" si="129">E118+E119</f>
        <v>1105747.0079999999</v>
      </c>
      <c r="F117" s="37">
        <f t="shared" si="85"/>
        <v>774371.44700000004</v>
      </c>
      <c r="G117" s="37">
        <f t="shared" ref="G117:O117" si="130">G118+G119</f>
        <v>65509.462</v>
      </c>
      <c r="H117" s="37">
        <f t="shared" ref="H117:N117" si="131">H118+H119</f>
        <v>75893.362999999998</v>
      </c>
      <c r="I117" s="37">
        <f t="shared" ref="I117:M117" si="132">I118+I119</f>
        <v>70826.703999999998</v>
      </c>
      <c r="J117" s="37">
        <f t="shared" si="132"/>
        <v>79596.705000000002</v>
      </c>
      <c r="K117" s="37">
        <f t="shared" si="132"/>
        <v>79552.297999999995</v>
      </c>
      <c r="L117" s="37">
        <f t="shared" si="132"/>
        <v>188837.17800000001</v>
      </c>
      <c r="M117" s="37">
        <f t="shared" si="132"/>
        <v>130040.90100000001</v>
      </c>
      <c r="N117" s="37">
        <f t="shared" si="131"/>
        <v>84114.835999999981</v>
      </c>
      <c r="O117" s="37">
        <f t="shared" si="130"/>
        <v>775683.56200000003</v>
      </c>
      <c r="P117" s="37">
        <f t="shared" si="123"/>
        <v>-1312.1149999999907</v>
      </c>
      <c r="Q117" s="110">
        <f>F117/O117*100</f>
        <v>99.830844036888337</v>
      </c>
      <c r="R117" s="37">
        <f t="shared" ref="R117" si="133">R118+R119</f>
        <v>626500.2350000001</v>
      </c>
      <c r="S117" s="37">
        <f t="shared" si="124"/>
        <v>147871.21199999994</v>
      </c>
      <c r="T117" s="110">
        <f>F117/R117*100</f>
        <v>123.60273847303505</v>
      </c>
      <c r="U117" s="110">
        <f>F117/E117*100</f>
        <v>70.031520899218208</v>
      </c>
      <c r="V117" s="37">
        <f t="shared" ref="V117" si="134">V118+V119</f>
        <v>628716.31000000006</v>
      </c>
      <c r="W117" s="60">
        <f t="shared" si="125"/>
        <v>145655.13699999999</v>
      </c>
      <c r="X117" s="61">
        <f>F117/V117*100</f>
        <v>123.16706830780323</v>
      </c>
    </row>
    <row r="118" spans="1:26" s="102" customFormat="1" ht="47.25" customHeight="1" x14ac:dyDescent="0.35">
      <c r="A118" s="100"/>
      <c r="B118" s="101" t="s">
        <v>96</v>
      </c>
      <c r="C118" s="101"/>
      <c r="D118" s="130">
        <f>D81+D104</f>
        <v>896476.1</v>
      </c>
      <c r="E118" s="130">
        <f>E81+E104</f>
        <v>910791.4</v>
      </c>
      <c r="F118" s="130">
        <f t="shared" si="85"/>
        <v>598090.09900000005</v>
      </c>
      <c r="G118" s="130">
        <f t="shared" ref="G118:O118" si="135">G81+G104</f>
        <v>63808.4</v>
      </c>
      <c r="H118" s="130">
        <f t="shared" si="135"/>
        <v>63802.3</v>
      </c>
      <c r="I118" s="130">
        <f t="shared" si="135"/>
        <v>68667.997000000003</v>
      </c>
      <c r="J118" s="130">
        <f t="shared" si="135"/>
        <v>77227.5</v>
      </c>
      <c r="K118" s="130">
        <f t="shared" ref="K118:M118" si="136">K81+K104</f>
        <v>77274.399999999994</v>
      </c>
      <c r="L118" s="130">
        <f t="shared" si="136"/>
        <v>184129.10200000001</v>
      </c>
      <c r="M118" s="130">
        <f t="shared" si="136"/>
        <v>24848</v>
      </c>
      <c r="N118" s="130">
        <f t="shared" si="135"/>
        <v>38332.399999999994</v>
      </c>
      <c r="O118" s="130">
        <f t="shared" si="135"/>
        <v>599163.80000000005</v>
      </c>
      <c r="P118" s="130">
        <f t="shared" si="123"/>
        <v>-1073.7010000000009</v>
      </c>
      <c r="Q118" s="115">
        <f>F118/O118*100</f>
        <v>99.820800088389845</v>
      </c>
      <c r="R118" s="130">
        <f>R81+R104</f>
        <v>599163.80000000005</v>
      </c>
      <c r="S118" s="130">
        <f t="shared" si="124"/>
        <v>-1073.7010000000009</v>
      </c>
      <c r="T118" s="115">
        <f>F118/R118*100</f>
        <v>99.820800088389845</v>
      </c>
      <c r="U118" s="115">
        <f>F118/E118*100</f>
        <v>65.66707799392924</v>
      </c>
      <c r="V118" s="130">
        <f>V81+V104</f>
        <v>546601.5</v>
      </c>
      <c r="W118" s="128">
        <f t="shared" si="125"/>
        <v>51488.599000000046</v>
      </c>
      <c r="X118" s="129">
        <f>F118/V118*100</f>
        <v>109.41976906393415</v>
      </c>
    </row>
    <row r="119" spans="1:26" s="102" customFormat="1" ht="34.5" customHeight="1" x14ac:dyDescent="0.35">
      <c r="A119" s="100"/>
      <c r="B119" s="101" t="s">
        <v>95</v>
      </c>
      <c r="C119" s="101"/>
      <c r="D119" s="130">
        <f>D105+D82</f>
        <v>25417.366999999998</v>
      </c>
      <c r="E119" s="130">
        <f>E105+E82</f>
        <v>194955.60800000001</v>
      </c>
      <c r="F119" s="130">
        <f t="shared" si="85"/>
        <v>176281.348</v>
      </c>
      <c r="G119" s="130">
        <f t="shared" ref="G119:O119" si="137">G105+G82</f>
        <v>1701.0619999999999</v>
      </c>
      <c r="H119" s="130">
        <f t="shared" si="137"/>
        <v>12091.063</v>
      </c>
      <c r="I119" s="130">
        <f t="shared" si="137"/>
        <v>2158.7069999999999</v>
      </c>
      <c r="J119" s="130">
        <f t="shared" si="137"/>
        <v>2369.2049999999999</v>
      </c>
      <c r="K119" s="130">
        <f t="shared" ref="K119:M119" si="138">K105+K82</f>
        <v>2277.8980000000001</v>
      </c>
      <c r="L119" s="130">
        <f t="shared" si="138"/>
        <v>4708.0760000000009</v>
      </c>
      <c r="M119" s="130">
        <f t="shared" si="138"/>
        <v>105192.90100000001</v>
      </c>
      <c r="N119" s="130">
        <f t="shared" si="137"/>
        <v>45782.435999999994</v>
      </c>
      <c r="O119" s="130">
        <f t="shared" si="137"/>
        <v>176519.76200000002</v>
      </c>
      <c r="P119" s="130">
        <f t="shared" si="123"/>
        <v>-238.41400000001886</v>
      </c>
      <c r="Q119" s="115">
        <f>F119/O119*100</f>
        <v>99.864936368994179</v>
      </c>
      <c r="R119" s="130">
        <f>R105+R82</f>
        <v>27336.435000000005</v>
      </c>
      <c r="S119" s="130">
        <f t="shared" si="124"/>
        <v>148944.913</v>
      </c>
      <c r="T119" s="115">
        <f>F119/R119*100</f>
        <v>644.85858525444144</v>
      </c>
      <c r="U119" s="115">
        <f>F119/E119*100</f>
        <v>90.421275801412179</v>
      </c>
      <c r="V119" s="130">
        <f>V105+V82</f>
        <v>82114.81</v>
      </c>
      <c r="W119" s="128">
        <f t="shared" si="125"/>
        <v>94166.538</v>
      </c>
      <c r="X119" s="129">
        <f>F119/V119*100</f>
        <v>214.67668012627686</v>
      </c>
    </row>
    <row r="120" spans="1:26" s="111" customFormat="1" ht="58.5" x14ac:dyDescent="0.25">
      <c r="A120" s="31"/>
      <c r="B120" s="109" t="s">
        <v>190</v>
      </c>
      <c r="C120" s="24"/>
      <c r="D120" s="37">
        <f>D106</f>
        <v>0</v>
      </c>
      <c r="E120" s="37">
        <f>E106</f>
        <v>32619.324000000001</v>
      </c>
      <c r="F120" s="37">
        <f t="shared" ref="F120" si="139">SUM(G120:N120)</f>
        <v>32619.324000000001</v>
      </c>
      <c r="G120" s="37">
        <f t="shared" ref="G120:O120" si="140">G106</f>
        <v>24369.562000000002</v>
      </c>
      <c r="H120" s="37">
        <f t="shared" si="140"/>
        <v>0</v>
      </c>
      <c r="I120" s="37">
        <f t="shared" ref="I120:M120" si="141">I106</f>
        <v>0</v>
      </c>
      <c r="J120" s="37">
        <f t="shared" si="141"/>
        <v>0</v>
      </c>
      <c r="K120" s="37">
        <f t="shared" si="141"/>
        <v>8249.7620000000006</v>
      </c>
      <c r="L120" s="37">
        <f t="shared" si="141"/>
        <v>0</v>
      </c>
      <c r="M120" s="37">
        <f t="shared" si="141"/>
        <v>0</v>
      </c>
      <c r="N120" s="37">
        <f t="shared" si="140"/>
        <v>0</v>
      </c>
      <c r="O120" s="37">
        <f t="shared" si="140"/>
        <v>32619.324000000001</v>
      </c>
      <c r="P120" s="37">
        <f t="shared" si="123"/>
        <v>0</v>
      </c>
      <c r="Q120" s="110">
        <f>F120/O120*100</f>
        <v>100</v>
      </c>
      <c r="R120" s="131">
        <f t="shared" ref="R120" si="142">R106</f>
        <v>32619.324000000001</v>
      </c>
      <c r="S120" s="37">
        <f t="shared" si="124"/>
        <v>0</v>
      </c>
      <c r="T120" s="110">
        <f>F120/R120*100</f>
        <v>100</v>
      </c>
      <c r="U120" s="110">
        <f>F120/E120*100</f>
        <v>100</v>
      </c>
      <c r="V120" s="37">
        <f t="shared" ref="V120" si="143">V106</f>
        <v>0</v>
      </c>
      <c r="W120" s="60">
        <f t="shared" si="125"/>
        <v>32619.324000000001</v>
      </c>
      <c r="X120" s="61"/>
    </row>
    <row r="121" spans="1:26" x14ac:dyDescent="0.2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3"/>
      <c r="X121" s="132"/>
    </row>
    <row r="122" spans="1:26" s="160" customFormat="1" ht="55.5" customHeight="1" x14ac:dyDescent="0.3">
      <c r="A122" s="162"/>
      <c r="B122" s="153" t="s">
        <v>120</v>
      </c>
      <c r="C122" s="161"/>
      <c r="D122" s="155">
        <f>D109+D114</f>
        <v>6355016.3520000009</v>
      </c>
      <c r="E122" s="155">
        <f>E109+E114</f>
        <v>6732492.5879999995</v>
      </c>
      <c r="F122" s="155">
        <f t="shared" si="85"/>
        <v>4711930.3160000006</v>
      </c>
      <c r="G122" s="155">
        <f t="shared" ref="G122:O122" si="144">G109+G114</f>
        <v>557088.33100000012</v>
      </c>
      <c r="H122" s="155">
        <f t="shared" si="144"/>
        <v>551949.60899999994</v>
      </c>
      <c r="I122" s="155">
        <f t="shared" si="144"/>
        <v>473623.25300000014</v>
      </c>
      <c r="J122" s="155">
        <f t="shared" si="144"/>
        <v>585726.23599999992</v>
      </c>
      <c r="K122" s="155">
        <f t="shared" ref="K122:M122" si="145">K109+K114</f>
        <v>605001.82300000009</v>
      </c>
      <c r="L122" s="155">
        <f t="shared" si="145"/>
        <v>654227.92200000002</v>
      </c>
      <c r="M122" s="155">
        <f t="shared" si="145"/>
        <v>689703.9920000002</v>
      </c>
      <c r="N122" s="155">
        <f t="shared" si="144"/>
        <v>594609.15000000014</v>
      </c>
      <c r="O122" s="155">
        <f t="shared" si="144"/>
        <v>4414650.2310000006</v>
      </c>
      <c r="P122" s="155">
        <f>F122-O122</f>
        <v>297280.08499999996</v>
      </c>
      <c r="Q122" s="156">
        <f>F122/O122*100</f>
        <v>106.73394424121025</v>
      </c>
      <c r="R122" s="155">
        <f>R109+R114</f>
        <v>4390011.4103333335</v>
      </c>
      <c r="S122" s="155">
        <f>F122-R122</f>
        <v>321918.90566666704</v>
      </c>
      <c r="T122" s="156">
        <f>F122/R122*100</f>
        <v>107.33298562525202</v>
      </c>
      <c r="U122" s="156">
        <f>F122/E122*100</f>
        <v>69.987902020100975</v>
      </c>
      <c r="V122" s="155">
        <f>V109+V114</f>
        <v>4341201.1500000004</v>
      </c>
      <c r="W122" s="157">
        <f>F122-V122</f>
        <v>370729.1660000002</v>
      </c>
      <c r="X122" s="158">
        <f>F122/V122*100</f>
        <v>108.53978318880708</v>
      </c>
      <c r="Y122" s="163">
        <v>4341201.1500000004</v>
      </c>
      <c r="Z122" s="155">
        <f>Y122-V122</f>
        <v>0</v>
      </c>
    </row>
    <row r="123" spans="1:26" s="160" customFormat="1" ht="99" hidden="1" customHeight="1" x14ac:dyDescent="0.3">
      <c r="A123" s="162"/>
      <c r="B123" s="153" t="s">
        <v>191</v>
      </c>
      <c r="C123" s="161"/>
      <c r="D123" s="155">
        <f>D122</f>
        <v>6355016.3520000009</v>
      </c>
      <c r="E123" s="155">
        <f>E122</f>
        <v>6732492.5879999995</v>
      </c>
      <c r="F123" s="155">
        <f t="shared" si="85"/>
        <v>4711930.3160000006</v>
      </c>
      <c r="G123" s="155">
        <f t="shared" ref="G123:O123" si="146">G122</f>
        <v>557088.33100000012</v>
      </c>
      <c r="H123" s="155">
        <f t="shared" si="146"/>
        <v>551949.60899999994</v>
      </c>
      <c r="I123" s="155">
        <f t="shared" si="146"/>
        <v>473623.25300000014</v>
      </c>
      <c r="J123" s="155">
        <f t="shared" si="146"/>
        <v>585726.23599999992</v>
      </c>
      <c r="K123" s="155">
        <f t="shared" ref="K123:M123" si="147">K122</f>
        <v>605001.82300000009</v>
      </c>
      <c r="L123" s="155">
        <f t="shared" si="147"/>
        <v>654227.92200000002</v>
      </c>
      <c r="M123" s="155">
        <f t="shared" si="147"/>
        <v>689703.9920000002</v>
      </c>
      <c r="N123" s="155">
        <f t="shared" si="146"/>
        <v>594609.15000000014</v>
      </c>
      <c r="O123" s="155">
        <f t="shared" si="146"/>
        <v>4414650.2310000006</v>
      </c>
      <c r="P123" s="155">
        <f>F123-O123</f>
        <v>297280.08499999996</v>
      </c>
      <c r="Q123" s="156">
        <f>F123/O123*100</f>
        <v>106.73394424121025</v>
      </c>
      <c r="R123" s="155">
        <f>R122</f>
        <v>4390011.4103333335</v>
      </c>
      <c r="S123" s="155">
        <f>F123-R123</f>
        <v>321918.90566666704</v>
      </c>
      <c r="T123" s="156">
        <f>F123/R123*100</f>
        <v>107.33298562525202</v>
      </c>
      <c r="U123" s="156">
        <f t="shared" ref="U123" si="148">F123/E123*100</f>
        <v>69.987902020100975</v>
      </c>
      <c r="V123" s="155">
        <f>V107+V85</f>
        <v>3764105.8020000006</v>
      </c>
      <c r="W123" s="157">
        <f>F123-V123</f>
        <v>947824.51399999997</v>
      </c>
      <c r="X123" s="158">
        <f>F123/V123*100</f>
        <v>125.18060234907287</v>
      </c>
      <c r="Y123" s="163"/>
      <c r="Z123" s="155"/>
    </row>
    <row r="124" spans="1:26" s="13" customFormat="1" ht="99.75" customHeight="1" x14ac:dyDescent="0.4">
      <c r="A124" s="32"/>
      <c r="B124" s="174" t="s">
        <v>217</v>
      </c>
      <c r="C124" s="174"/>
      <c r="D124" s="174"/>
      <c r="E124" s="20"/>
      <c r="F124" s="20" t="s">
        <v>218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62"/>
      <c r="X124" s="63"/>
    </row>
    <row r="125" spans="1:26" s="7" customFormat="1" ht="18" customHeight="1" x14ac:dyDescent="0.45">
      <c r="A125" s="6"/>
      <c r="B125" s="28" t="s">
        <v>52</v>
      </c>
      <c r="C125" s="17"/>
      <c r="D125" s="17"/>
      <c r="E125" s="17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64"/>
      <c r="X125" s="65"/>
    </row>
    <row r="126" spans="1:26" s="7" customFormat="1" ht="30.75" hidden="1" x14ac:dyDescent="0.45">
      <c r="A126" s="6"/>
      <c r="B126" s="17"/>
      <c r="C126" s="17"/>
      <c r="D126" s="17"/>
      <c r="E126" s="90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64"/>
      <c r="X126" s="65"/>
    </row>
    <row r="127" spans="1:26" s="4" customFormat="1" ht="30.75" hidden="1" customHeight="1" x14ac:dyDescent="0.45">
      <c r="A127" s="26"/>
      <c r="B127" s="17"/>
      <c r="C127" s="17"/>
      <c r="D127" s="78">
        <v>6355016.352</v>
      </c>
      <c r="E127" s="78">
        <v>6732492.5880000005</v>
      </c>
      <c r="F127" s="78">
        <v>4711930.3159999996</v>
      </c>
      <c r="G127" s="79"/>
      <c r="H127" s="79"/>
      <c r="I127" s="79"/>
      <c r="J127" s="79"/>
      <c r="K127" s="79"/>
      <c r="L127" s="79"/>
      <c r="M127" s="79"/>
      <c r="N127" s="79"/>
      <c r="O127" s="78">
        <v>4414650.2309999997</v>
      </c>
      <c r="P127" s="79"/>
      <c r="Q127" s="79"/>
      <c r="R127" s="79"/>
      <c r="S127" s="79"/>
      <c r="T127" s="79"/>
      <c r="U127" s="79"/>
      <c r="V127" s="78"/>
      <c r="W127" s="5"/>
    </row>
    <row r="128" spans="1:26" ht="12" hidden="1" customHeight="1" x14ac:dyDescent="0.45">
      <c r="B128" s="2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49" s="2" customFormat="1" ht="30.75" hidden="1" customHeight="1" x14ac:dyDescent="0.45">
      <c r="A129" s="27"/>
      <c r="B129" s="17"/>
      <c r="C129" s="17"/>
      <c r="D129" s="17"/>
      <c r="E129" s="17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40"/>
    </row>
    <row r="130" spans="1:49" s="2" customFormat="1" ht="30.75" hidden="1" customHeight="1" x14ac:dyDescent="0.45">
      <c r="A130" s="27"/>
      <c r="B130" s="17"/>
      <c r="C130" s="17"/>
      <c r="D130" s="17"/>
      <c r="E130" s="17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40"/>
    </row>
    <row r="131" spans="1:49" s="2" customFormat="1" ht="16.5" hidden="1" customHeight="1" x14ac:dyDescent="0.45">
      <c r="A131" s="27"/>
      <c r="B131" s="2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40"/>
    </row>
    <row r="132" spans="1:49" ht="18.75" hidden="1" x14ac:dyDescent="0.3">
      <c r="B132" s="26"/>
      <c r="D132" s="78">
        <f>D127-D122</f>
        <v>0</v>
      </c>
      <c r="E132" s="78">
        <f>E127-E122</f>
        <v>0</v>
      </c>
      <c r="F132" s="78">
        <f>F127-F122</f>
        <v>0</v>
      </c>
      <c r="O132" s="78">
        <f>O123-O127</f>
        <v>0</v>
      </c>
      <c r="V132" s="78"/>
    </row>
    <row r="133" spans="1:49" ht="18.75" hidden="1" x14ac:dyDescent="0.3">
      <c r="B133" s="26"/>
      <c r="D133" s="78"/>
      <c r="E133" s="78">
        <v>6485577.7259999998</v>
      </c>
      <c r="F133" s="78">
        <v>3427617.1740000001</v>
      </c>
    </row>
    <row r="134" spans="1:49" ht="18.75" hidden="1" x14ac:dyDescent="0.3">
      <c r="B134" s="26"/>
      <c r="D134" s="78"/>
      <c r="E134" s="78">
        <f>E133-E122</f>
        <v>-246914.86199999973</v>
      </c>
      <c r="F134" s="78">
        <f>F133-F122</f>
        <v>-1284313.1420000005</v>
      </c>
      <c r="V134" s="78"/>
    </row>
    <row r="135" spans="1:49" ht="18.75" hidden="1" x14ac:dyDescent="0.3">
      <c r="B135" s="4"/>
      <c r="C135" s="3"/>
      <c r="D135" s="3"/>
      <c r="E135" s="3"/>
      <c r="P135" s="175" t="s">
        <v>49</v>
      </c>
      <c r="Q135" s="175"/>
      <c r="R135" s="120">
        <f>E53/12*8</f>
        <v>3584084.6566666667</v>
      </c>
    </row>
    <row r="136" spans="1:49" ht="22.5" hidden="1" x14ac:dyDescent="0.3">
      <c r="B136" s="4"/>
      <c r="C136" s="3"/>
      <c r="D136" s="3"/>
      <c r="E136" s="91"/>
      <c r="F136" s="91"/>
      <c r="P136" s="140"/>
      <c r="Q136" s="140"/>
      <c r="R136" s="120">
        <f>R135-R53</f>
        <v>0</v>
      </c>
      <c r="V136" s="91"/>
    </row>
    <row r="137" spans="1:49" ht="18.75" hidden="1" x14ac:dyDescent="0.3">
      <c r="B137" s="4"/>
      <c r="C137" s="3"/>
      <c r="D137" s="3"/>
      <c r="E137" s="3"/>
      <c r="P137" s="175" t="s">
        <v>50</v>
      </c>
      <c r="Q137" s="175"/>
      <c r="R137" s="121">
        <f>E98/12*8</f>
        <v>142384.15066666665</v>
      </c>
    </row>
    <row r="138" spans="1:49" ht="18.75" hidden="1" x14ac:dyDescent="0.3">
      <c r="B138" s="4"/>
      <c r="C138" s="3"/>
      <c r="D138" s="3"/>
      <c r="E138" s="3"/>
      <c r="P138" s="140"/>
      <c r="Q138" s="140"/>
      <c r="R138" s="120">
        <f>R137-R98</f>
        <v>0</v>
      </c>
      <c r="S138" s="3" t="s">
        <v>180</v>
      </c>
    </row>
    <row r="139" spans="1:49" ht="18.75" hidden="1" x14ac:dyDescent="0.3">
      <c r="B139" s="92"/>
      <c r="C139" s="3"/>
      <c r="D139" s="3"/>
      <c r="E139" s="3"/>
      <c r="P139" s="175" t="s">
        <v>51</v>
      </c>
      <c r="Q139" s="175"/>
      <c r="R139" s="120">
        <f>R137+R102</f>
        <v>202653.80866666665</v>
      </c>
    </row>
    <row r="140" spans="1:49" ht="18.75" hidden="1" x14ac:dyDescent="0.3">
      <c r="B140" s="4"/>
      <c r="C140" s="3"/>
      <c r="D140" s="3"/>
      <c r="E140" s="3"/>
      <c r="P140" s="140"/>
      <c r="Q140" s="140"/>
      <c r="R140" s="120">
        <f>R139-R107</f>
        <v>0</v>
      </c>
    </row>
    <row r="141" spans="1:49" s="18" customFormat="1" ht="18.75" hidden="1" x14ac:dyDescent="0.3"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1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s="18" customFormat="1" ht="18.75" hidden="1" x14ac:dyDescent="0.3">
      <c r="B142" s="4"/>
      <c r="C142" s="3"/>
      <c r="D142" s="3"/>
      <c r="E142" s="79"/>
      <c r="F142" s="7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79"/>
      <c r="W142" s="1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s="18" customFormat="1" ht="18.75" hidden="1" x14ac:dyDescent="0.3">
      <c r="B143" s="4"/>
      <c r="C143" s="3"/>
      <c r="D143" s="16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s="18" customFormat="1" ht="18.75" hidden="1" x14ac:dyDescent="0.3"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2:49" s="18" customFormat="1" ht="22.5" hidden="1" x14ac:dyDescent="0.3">
      <c r="B145" s="4"/>
      <c r="C145" s="3"/>
      <c r="D145" s="9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1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2:49" s="18" customFormat="1" ht="18.75" hidden="1" x14ac:dyDescent="0.3">
      <c r="B146" s="4"/>
      <c r="C146" s="3"/>
      <c r="D146" s="3"/>
      <c r="E146" s="3"/>
      <c r="F146" s="7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79"/>
      <c r="W146" s="1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2:49" s="18" customFormat="1" ht="18.75" hidden="1" x14ac:dyDescent="0.3"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1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2:49" s="18" customFormat="1" ht="18.75" hidden="1" x14ac:dyDescent="0.3"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2:49" s="18" customFormat="1" ht="18.75" hidden="1" x14ac:dyDescent="0.3">
      <c r="B149" s="2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1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2:49" s="18" customFormat="1" ht="18.75" hidden="1" x14ac:dyDescent="0.3">
      <c r="B150" s="2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2:49" hidden="1" x14ac:dyDescent="0.2"/>
    <row r="152" spans="2:49" hidden="1" x14ac:dyDescent="0.2"/>
    <row r="153" spans="2:49" hidden="1" x14ac:dyDescent="0.2"/>
    <row r="154" spans="2:49" hidden="1" x14ac:dyDescent="0.2"/>
    <row r="155" spans="2:49" hidden="1" x14ac:dyDescent="0.2"/>
    <row r="156" spans="2:49" hidden="1" x14ac:dyDescent="0.2"/>
    <row r="157" spans="2:49" hidden="1" x14ac:dyDescent="0.2"/>
  </sheetData>
  <mergeCells count="38">
    <mergeCell ref="B124:D124"/>
    <mergeCell ref="P135:Q135"/>
    <mergeCell ref="P137:Q137"/>
    <mergeCell ref="P139:Q139"/>
    <mergeCell ref="C17:C19"/>
    <mergeCell ref="C25:C27"/>
    <mergeCell ref="A53:C53"/>
    <mergeCell ref="A54:C54"/>
    <mergeCell ref="A108:X108"/>
    <mergeCell ref="A86:X86"/>
    <mergeCell ref="A6:X6"/>
    <mergeCell ref="A7:A9"/>
    <mergeCell ref="B9:C9"/>
    <mergeCell ref="Q3:Q4"/>
    <mergeCell ref="R3:R4"/>
    <mergeCell ref="S3:S4"/>
    <mergeCell ref="T3:T4"/>
    <mergeCell ref="U3:U4"/>
    <mergeCell ref="V3:V4"/>
    <mergeCell ref="H3:H4"/>
    <mergeCell ref="I3:I4"/>
    <mergeCell ref="K3:K4"/>
    <mergeCell ref="N3:N4"/>
    <mergeCell ref="M3:M4"/>
    <mergeCell ref="A1:X1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W3:W4"/>
    <mergeCell ref="X3:X4"/>
    <mergeCell ref="J3:J4"/>
    <mergeCell ref="L3:L4"/>
  </mergeCells>
  <printOptions horizontalCentered="1"/>
  <pageMargins left="0.39370078740157483" right="0" top="0" bottom="0" header="0.23622047244094491" footer="0.11811023622047245"/>
  <pageSetup paperSize="8" scale="62" fitToHeight="10" orientation="landscape" horizontalDpi="300" verticalDpi="300" r:id="rId1"/>
  <headerFooter alignWithMargins="0"/>
  <rowBreaks count="1" manualBreakCount="1">
    <brk id="107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2024-09-05T07:16:07Z</cp:lastPrinted>
  <dcterms:created xsi:type="dcterms:W3CDTF">1996-10-08T23:32:33Z</dcterms:created>
  <dcterms:modified xsi:type="dcterms:W3CDTF">2024-09-05T07:16:13Z</dcterms:modified>
</cp:coreProperties>
</file>